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D2404941-FDCD-4958-A61F-03CB64B58217}" xr6:coauthVersionLast="47" xr6:coauthVersionMax="47" xr10:uidLastSave="{00000000-0000-0000-0000-000000000000}"/>
  <bookViews>
    <workbookView xWindow="-120" yWindow="-120" windowWidth="29040" windowHeight="15840" activeTab="1" xr2:uid="{BDCEDA8C-F29A-49A0-8732-341E270A7E64}"/>
  </bookViews>
  <sheets>
    <sheet name="Summary" sheetId="2" r:id="rId1"/>
    <sheet name="BOQ " sheetId="8" r:id="rId2"/>
    <sheet name="BOM" sheetId="5" r:id="rId3"/>
    <sheet name="Quote comparison" sheetId="10" state="hidden" r:id="rId4"/>
    <sheet name="Manufacturer list" sheetId="6" state="hidden" r:id="rId5"/>
  </sheets>
  <definedNames>
    <definedName name="_xlnm.Print_Area" localSheetId="1">'BOQ '!#REF!</definedName>
    <definedName name="_xlnm.Print_Area" localSheetId="4">'Manufacturer list'!$B$111:$C$180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37" i="8" l="1"/>
  <c r="K34" i="8"/>
  <c r="H17" i="10"/>
  <c r="K32" i="8"/>
  <c r="K40" i="8"/>
  <c r="M38" i="8"/>
  <c r="M39" i="8"/>
  <c r="I41" i="8"/>
  <c r="J71" i="8"/>
  <c r="H85" i="5"/>
  <c r="L114" i="5"/>
  <c r="J113" i="5"/>
  <c r="L113" i="5" s="1"/>
  <c r="L107" i="5"/>
  <c r="J107" i="5"/>
  <c r="K153" i="5"/>
  <c r="H120" i="5" l="1"/>
  <c r="H123" i="5"/>
  <c r="H121" i="5"/>
  <c r="J121" i="5" s="1"/>
  <c r="H86" i="5"/>
  <c r="J18" i="10"/>
  <c r="O41" i="8"/>
  <c r="J41" i="8" s="1"/>
  <c r="K41" i="8" s="1"/>
  <c r="M41" i="8" s="1"/>
  <c r="G112" i="6"/>
  <c r="H31" i="8" l="1"/>
  <c r="K31" i="8" s="1"/>
  <c r="K121" i="5"/>
  <c r="G63" i="6"/>
  <c r="G31" i="10"/>
  <c r="H31" i="10" s="1"/>
  <c r="G25" i="10"/>
  <c r="H25" i="10" s="1"/>
  <c r="J25" i="10" s="1"/>
  <c r="K35" i="8" s="1"/>
  <c r="M35" i="8" s="1"/>
  <c r="G17" i="10"/>
  <c r="G10" i="10"/>
  <c r="J17" i="10" l="1"/>
  <c r="J19" i="10" s="1"/>
  <c r="M34" i="8" s="1"/>
  <c r="H10" i="10"/>
  <c r="J10" i="10" s="1"/>
  <c r="M37" i="8" s="1"/>
  <c r="E118" i="10"/>
  <c r="E119" i="10" s="1"/>
  <c r="E96" i="10"/>
  <c r="F96" i="10" s="1"/>
  <c r="E95" i="10"/>
  <c r="F95" i="10" s="1"/>
  <c r="E94" i="10"/>
  <c r="F94" i="10" s="1"/>
  <c r="E93" i="10"/>
  <c r="F93" i="10" s="1"/>
  <c r="E91" i="10"/>
  <c r="G37" i="10"/>
  <c r="J31" i="10"/>
  <c r="M32" i="8" s="1"/>
  <c r="H37" i="10" l="1"/>
  <c r="J37" i="10" s="1"/>
  <c r="K33" i="8" s="1"/>
  <c r="N67" i="10"/>
  <c r="E97" i="10"/>
  <c r="G114" i="6" l="1"/>
  <c r="K206" i="5" l="1"/>
  <c r="H206" i="5"/>
  <c r="J206" i="5" s="1"/>
  <c r="L206" i="5" s="1"/>
  <c r="K201" i="5"/>
  <c r="H201" i="5"/>
  <c r="J201" i="5" s="1"/>
  <c r="H194" i="5"/>
  <c r="H196" i="5" s="1"/>
  <c r="K196" i="5"/>
  <c r="K195" i="5"/>
  <c r="H195" i="5"/>
  <c r="J195" i="5" s="1"/>
  <c r="K93" i="5"/>
  <c r="K92" i="5"/>
  <c r="K190" i="5"/>
  <c r="L190" i="5" s="1"/>
  <c r="H190" i="5"/>
  <c r="K189" i="5"/>
  <c r="H188" i="5"/>
  <c r="K187" i="5"/>
  <c r="H187" i="5"/>
  <c r="J187" i="5" s="1"/>
  <c r="K135" i="5"/>
  <c r="L135" i="5" s="1"/>
  <c r="K132" i="5"/>
  <c r="K182" i="5"/>
  <c r="K181" i="5"/>
  <c r="H181" i="5"/>
  <c r="J181" i="5" s="1"/>
  <c r="J182" i="5" s="1"/>
  <c r="K180" i="5"/>
  <c r="L180" i="5" s="1"/>
  <c r="K179" i="5"/>
  <c r="K99" i="5"/>
  <c r="L99" i="5" s="1"/>
  <c r="K98" i="5"/>
  <c r="K174" i="5"/>
  <c r="H174" i="5"/>
  <c r="J174" i="5" s="1"/>
  <c r="K173" i="5"/>
  <c r="H173" i="5"/>
  <c r="J173" i="5" s="1"/>
  <c r="K148" i="5"/>
  <c r="K147" i="5"/>
  <c r="J116" i="8"/>
  <c r="J115" i="8"/>
  <c r="I115" i="8" s="1"/>
  <c r="K115" i="8" s="1"/>
  <c r="M115" i="8" s="1"/>
  <c r="J114" i="8"/>
  <c r="J113" i="8"/>
  <c r="I113" i="8" s="1"/>
  <c r="K113" i="8" s="1"/>
  <c r="M113" i="8" s="1"/>
  <c r="J112" i="8"/>
  <c r="J111" i="8"/>
  <c r="I111" i="8" s="1"/>
  <c r="K111" i="8" s="1"/>
  <c r="M111" i="8" s="1"/>
  <c r="J110" i="8"/>
  <c r="J109" i="8"/>
  <c r="I109" i="8"/>
  <c r="K109" i="8" s="1"/>
  <c r="M109" i="8" s="1"/>
  <c r="J108" i="8"/>
  <c r="I94" i="8"/>
  <c r="E11" i="2" s="1"/>
  <c r="J92" i="8"/>
  <c r="K92" i="8" s="1"/>
  <c r="K94" i="8" s="1"/>
  <c r="G11" i="2" s="1"/>
  <c r="J89" i="8"/>
  <c r="J90" i="8" s="1"/>
  <c r="F10" i="2" s="1"/>
  <c r="J86" i="8"/>
  <c r="J85" i="8"/>
  <c r="J84" i="8"/>
  <c r="J81" i="8"/>
  <c r="J80" i="8"/>
  <c r="J79" i="8"/>
  <c r="J78" i="8"/>
  <c r="J77" i="8"/>
  <c r="J74" i="8"/>
  <c r="J75" i="8" s="1"/>
  <c r="F7" i="2" s="1"/>
  <c r="I71" i="8"/>
  <c r="K71" i="8" s="1"/>
  <c r="J70" i="8"/>
  <c r="I70" i="8" s="1"/>
  <c r="K70" i="8" s="1"/>
  <c r="J69" i="8"/>
  <c r="I69" i="8" s="1"/>
  <c r="K69" i="8" s="1"/>
  <c r="J68" i="8"/>
  <c r="I68" i="8" s="1"/>
  <c r="K68" i="8" s="1"/>
  <c r="J67" i="8"/>
  <c r="I67" i="8" s="1"/>
  <c r="K67" i="8" s="1"/>
  <c r="J66" i="8"/>
  <c r="I66" i="8" s="1"/>
  <c r="K66" i="8" s="1"/>
  <c r="J65" i="8"/>
  <c r="K61" i="8"/>
  <c r="K60" i="8"/>
  <c r="K59" i="8"/>
  <c r="J58" i="8"/>
  <c r="K57" i="8"/>
  <c r="K56" i="8"/>
  <c r="K51" i="8"/>
  <c r="K50" i="8"/>
  <c r="K49" i="8"/>
  <c r="K48" i="8"/>
  <c r="K44" i="8"/>
  <c r="J32" i="8"/>
  <c r="I32" i="8"/>
  <c r="I63" i="8" s="1"/>
  <c r="J30" i="8"/>
  <c r="K30" i="8" s="1"/>
  <c r="K29" i="8"/>
  <c r="J26" i="8"/>
  <c r="J25" i="8"/>
  <c r="J23" i="8"/>
  <c r="I23" i="8"/>
  <c r="J22" i="8"/>
  <c r="I22" i="8"/>
  <c r="K21" i="8"/>
  <c r="J20" i="8"/>
  <c r="I20" i="8"/>
  <c r="K19" i="8"/>
  <c r="J18" i="8"/>
  <c r="I18" i="8"/>
  <c r="J15" i="8"/>
  <c r="I15" i="8"/>
  <c r="K14" i="8"/>
  <c r="K13" i="8"/>
  <c r="J12" i="8"/>
  <c r="I12" i="8"/>
  <c r="J11" i="8"/>
  <c r="I11" i="8"/>
  <c r="J10" i="8"/>
  <c r="I10" i="8"/>
  <c r="J9" i="8"/>
  <c r="I9" i="8"/>
  <c r="K162" i="5"/>
  <c r="K161" i="5"/>
  <c r="K160" i="5"/>
  <c r="H158" i="5"/>
  <c r="K141" i="5"/>
  <c r="H135" i="5"/>
  <c r="K134" i="5"/>
  <c r="K83" i="5"/>
  <c r="H132" i="5"/>
  <c r="J132" i="5" s="1"/>
  <c r="K126" i="5"/>
  <c r="L126" i="5" s="1"/>
  <c r="K125" i="5"/>
  <c r="K124" i="5"/>
  <c r="K119" i="5"/>
  <c r="K118" i="5"/>
  <c r="H119" i="5"/>
  <c r="J119" i="5" s="1"/>
  <c r="H118" i="5"/>
  <c r="J118" i="5" s="1"/>
  <c r="J120" i="5"/>
  <c r="K112" i="5"/>
  <c r="H112" i="5"/>
  <c r="J112" i="5" s="1"/>
  <c r="K106" i="5"/>
  <c r="H106" i="5"/>
  <c r="J106" i="5" s="1"/>
  <c r="K101" i="5"/>
  <c r="K87" i="5"/>
  <c r="H87" i="5"/>
  <c r="J87" i="5" s="1"/>
  <c r="J86" i="5"/>
  <c r="H82" i="5"/>
  <c r="J82" i="5" s="1"/>
  <c r="J83" i="5" s="1"/>
  <c r="K81" i="5"/>
  <c r="G2" i="6"/>
  <c r="G3" i="6"/>
  <c r="G4" i="6"/>
  <c r="K80" i="5" s="1"/>
  <c r="G5" i="6"/>
  <c r="G6" i="6"/>
  <c r="G7" i="6"/>
  <c r="G8" i="6"/>
  <c r="K86" i="5" s="1"/>
  <c r="G9" i="6"/>
  <c r="G10" i="6"/>
  <c r="G11" i="6"/>
  <c r="G12" i="6"/>
  <c r="G13" i="6"/>
  <c r="G14" i="6"/>
  <c r="G16" i="6"/>
  <c r="G17" i="6"/>
  <c r="G18" i="6"/>
  <c r="G19" i="6"/>
  <c r="G20" i="6"/>
  <c r="G21" i="6"/>
  <c r="G22" i="6"/>
  <c r="G23" i="6"/>
  <c r="L93" i="5" s="1"/>
  <c r="G24" i="6"/>
  <c r="G25" i="6"/>
  <c r="G26" i="6"/>
  <c r="G27" i="6"/>
  <c r="G28" i="6"/>
  <c r="G29" i="6"/>
  <c r="G30" i="6"/>
  <c r="G31" i="6"/>
  <c r="G32" i="6"/>
  <c r="G33" i="6"/>
  <c r="G34" i="6"/>
  <c r="G35" i="6"/>
  <c r="G36" i="6"/>
  <c r="G37" i="6"/>
  <c r="G38" i="6"/>
  <c r="G39" i="6"/>
  <c r="G40" i="6"/>
  <c r="G41" i="6"/>
  <c r="K120" i="5" s="1"/>
  <c r="G42" i="6"/>
  <c r="G43" i="6"/>
  <c r="G44" i="6"/>
  <c r="G45" i="6"/>
  <c r="G46" i="6"/>
  <c r="G47" i="6"/>
  <c r="G48" i="6"/>
  <c r="G49" i="6"/>
  <c r="G50" i="6"/>
  <c r="G51" i="6"/>
  <c r="G52" i="6"/>
  <c r="G53" i="6"/>
  <c r="G54" i="6"/>
  <c r="G55" i="6"/>
  <c r="G56" i="6"/>
  <c r="K82" i="5" s="1"/>
  <c r="G57" i="6"/>
  <c r="G58" i="6"/>
  <c r="G59" i="6"/>
  <c r="G60" i="6"/>
  <c r="G61" i="6"/>
  <c r="G62" i="6"/>
  <c r="G64" i="6"/>
  <c r="G65" i="6"/>
  <c r="K85" i="5" s="1"/>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K84" i="5"/>
  <c r="G113" i="6"/>
  <c r="K100" i="5" s="1"/>
  <c r="G115" i="6"/>
  <c r="G116" i="6"/>
  <c r="K122" i="5" s="1"/>
  <c r="G117" i="6"/>
  <c r="K123" i="5" s="1"/>
  <c r="G118" i="6"/>
  <c r="K133" i="5" s="1"/>
  <c r="G119" i="6"/>
  <c r="G120" i="6"/>
  <c r="K142" i="5" s="1"/>
  <c r="G121" i="6"/>
  <c r="K158" i="5" s="1"/>
  <c r="G122" i="6"/>
  <c r="K159" i="5" s="1"/>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H162" i="5"/>
  <c r="J162" i="5" s="1"/>
  <c r="H161" i="5"/>
  <c r="J161" i="5" s="1"/>
  <c r="H160" i="5"/>
  <c r="J160" i="5" s="1"/>
  <c r="H148" i="5"/>
  <c r="J148" i="5" s="1"/>
  <c r="H147" i="5"/>
  <c r="J147" i="5" s="1"/>
  <c r="H142" i="5"/>
  <c r="H141" i="5"/>
  <c r="J141" i="5" s="1"/>
  <c r="H133" i="5"/>
  <c r="H127" i="5"/>
  <c r="J127" i="5" s="1"/>
  <c r="H124" i="5"/>
  <c r="J124" i="5" s="1"/>
  <c r="J123" i="5"/>
  <c r="H122" i="5"/>
  <c r="J122" i="5" s="1"/>
  <c r="H126" i="5"/>
  <c r="H125" i="5"/>
  <c r="J125" i="5" s="1"/>
  <c r="H100" i="5"/>
  <c r="J100" i="5" s="1"/>
  <c r="J101" i="5" s="1"/>
  <c r="H91" i="5"/>
  <c r="H93" i="5" s="1"/>
  <c r="H84" i="5"/>
  <c r="H81" i="5"/>
  <c r="J81" i="5" s="1"/>
  <c r="H80" i="5"/>
  <c r="J80" i="5" s="1"/>
  <c r="K15" i="5"/>
  <c r="J15" i="5"/>
  <c r="I15" i="5"/>
  <c r="L196" i="5"/>
  <c r="L168" i="5"/>
  <c r="L167" i="5"/>
  <c r="L153" i="5"/>
  <c r="L77" i="5"/>
  <c r="K35" i="5"/>
  <c r="J35" i="5"/>
  <c r="I35" i="5"/>
  <c r="J94" i="8" l="1"/>
  <c r="F11" i="2" s="1"/>
  <c r="K16" i="8"/>
  <c r="G3" i="2" s="1"/>
  <c r="J85" i="5"/>
  <c r="J84" i="5"/>
  <c r="L141" i="5"/>
  <c r="L201" i="5"/>
  <c r="J82" i="8"/>
  <c r="F8" i="2" s="1"/>
  <c r="J16" i="8"/>
  <c r="J27" i="8"/>
  <c r="J87" i="8"/>
  <c r="F9" i="2" s="1"/>
  <c r="I27" i="8"/>
  <c r="J72" i="8"/>
  <c r="F6" i="2" s="1"/>
  <c r="J117" i="8"/>
  <c r="K188" i="5"/>
  <c r="L188" i="5" s="1"/>
  <c r="J63" i="8"/>
  <c r="K63" i="8"/>
  <c r="G5" i="2" s="1"/>
  <c r="L182" i="5"/>
  <c r="L187" i="5"/>
  <c r="L160" i="5"/>
  <c r="L173" i="5"/>
  <c r="L195" i="5"/>
  <c r="L161" i="5"/>
  <c r="L112" i="5"/>
  <c r="L159" i="5"/>
  <c r="H98" i="5"/>
  <c r="J98" i="5" s="1"/>
  <c r="L98" i="5" s="1"/>
  <c r="L158" i="5"/>
  <c r="J189" i="5"/>
  <c r="L189" i="5" s="1"/>
  <c r="H99" i="5"/>
  <c r="L174" i="5"/>
  <c r="H180" i="5"/>
  <c r="L181" i="5"/>
  <c r="H179" i="5"/>
  <c r="J179" i="5" s="1"/>
  <c r="L179" i="5" s="1"/>
  <c r="L119" i="5"/>
  <c r="L122" i="5"/>
  <c r="M66" i="8"/>
  <c r="M67" i="8"/>
  <c r="M70" i="8"/>
  <c r="M68" i="8"/>
  <c r="M71" i="8"/>
  <c r="M69" i="8"/>
  <c r="I65" i="8"/>
  <c r="I16" i="8"/>
  <c r="K27" i="8"/>
  <c r="G4" i="2" s="1"/>
  <c r="L162" i="5"/>
  <c r="L133" i="5"/>
  <c r="J134" i="5"/>
  <c r="L134" i="5" s="1"/>
  <c r="L123" i="5"/>
  <c r="L121" i="5"/>
  <c r="L142" i="5"/>
  <c r="L143" i="5" s="1"/>
  <c r="L148" i="5"/>
  <c r="L147" i="5"/>
  <c r="L132" i="5"/>
  <c r="L127" i="5"/>
  <c r="L125" i="5"/>
  <c r="L124" i="5"/>
  <c r="L120" i="5"/>
  <c r="L118" i="5"/>
  <c r="L100" i="5"/>
  <c r="L101" i="5"/>
  <c r="L84" i="5"/>
  <c r="L106" i="5"/>
  <c r="L108" i="5" s="1"/>
  <c r="L82" i="5"/>
  <c r="L87" i="5"/>
  <c r="L80" i="5"/>
  <c r="L86" i="5"/>
  <c r="L85" i="5"/>
  <c r="L83" i="5"/>
  <c r="L81" i="5"/>
  <c r="H92" i="5"/>
  <c r="J92" i="5" s="1"/>
  <c r="L92" i="5" s="1"/>
  <c r="L94" i="5" s="1"/>
  <c r="L95" i="5" s="1"/>
  <c r="L207" i="5"/>
  <c r="L208" i="5" s="1"/>
  <c r="I116" i="8" s="1"/>
  <c r="K116" i="8" s="1"/>
  <c r="M116" i="8" s="1"/>
  <c r="L154" i="5"/>
  <c r="L155" i="5" s="1"/>
  <c r="I86" i="8" s="1"/>
  <c r="K86" i="8" s="1"/>
  <c r="M86" i="8" s="1"/>
  <c r="L169" i="5"/>
  <c r="L170" i="5" s="1"/>
  <c r="L197" i="5"/>
  <c r="L198" i="5" s="1"/>
  <c r="L115" i="5" l="1"/>
  <c r="L144" i="5"/>
  <c r="I84" i="8" s="1"/>
  <c r="L202" i="5"/>
  <c r="L109" i="5"/>
  <c r="L175" i="5"/>
  <c r="L176" i="5" s="1"/>
  <c r="I108" i="8" s="1"/>
  <c r="K108" i="8" s="1"/>
  <c r="M108" i="8" s="1"/>
  <c r="J97" i="8"/>
  <c r="L163" i="5"/>
  <c r="L164" i="5" s="1"/>
  <c r="I89" i="8" s="1"/>
  <c r="I90" i="8" s="1"/>
  <c r="E10" i="2" s="1"/>
  <c r="L136" i="5"/>
  <c r="L137" i="5" s="1"/>
  <c r="L183" i="5"/>
  <c r="L184" i="5" s="1"/>
  <c r="I110" i="8" s="1"/>
  <c r="L191" i="5"/>
  <c r="L192" i="5" s="1"/>
  <c r="I112" i="8" s="1"/>
  <c r="K112" i="8" s="1"/>
  <c r="M112" i="8" s="1"/>
  <c r="L128" i="5"/>
  <c r="L149" i="5"/>
  <c r="L150" i="5" s="1"/>
  <c r="I85" i="8" s="1"/>
  <c r="K85" i="8" s="1"/>
  <c r="M85" i="8" s="1"/>
  <c r="K65" i="8"/>
  <c r="I72" i="8"/>
  <c r="E6" i="2" s="1"/>
  <c r="L102" i="5"/>
  <c r="L103" i="5" s="1"/>
  <c r="L88" i="5"/>
  <c r="L89" i="5" s="1"/>
  <c r="I74" i="8" s="1"/>
  <c r="L129" i="5" l="1"/>
  <c r="I80" i="8" s="1"/>
  <c r="K80" i="8" s="1"/>
  <c r="M80" i="8" s="1"/>
  <c r="I87" i="8"/>
  <c r="E9" i="2" s="1"/>
  <c r="K84" i="8"/>
  <c r="M84" i="8" s="1"/>
  <c r="I78" i="8"/>
  <c r="K78" i="8" s="1"/>
  <c r="M78" i="8" s="1"/>
  <c r="I114" i="8"/>
  <c r="K114" i="8" s="1"/>
  <c r="M114" i="8" s="1"/>
  <c r="I81" i="8"/>
  <c r="K81" i="8" s="1"/>
  <c r="M81" i="8" s="1"/>
  <c r="I77" i="8"/>
  <c r="K77" i="8" s="1"/>
  <c r="L203" i="5"/>
  <c r="I79" i="8"/>
  <c r="K79" i="8" s="1"/>
  <c r="M79" i="8" s="1"/>
  <c r="K89" i="8"/>
  <c r="M89" i="8" s="1"/>
  <c r="K87" i="8"/>
  <c r="G9" i="2" s="1"/>
  <c r="K110" i="8"/>
  <c r="K74" i="8"/>
  <c r="K75" i="8" s="1"/>
  <c r="I75" i="8"/>
  <c r="E7" i="2" s="1"/>
  <c r="K72" i="8"/>
  <c r="G6" i="2" s="1"/>
  <c r="M65" i="8"/>
  <c r="I117" i="8" l="1"/>
  <c r="I82" i="8"/>
  <c r="E8" i="2" s="1"/>
  <c r="K90" i="8"/>
  <c r="G10" i="2" s="1"/>
  <c r="M77" i="8"/>
  <c r="K82" i="8"/>
  <c r="G8" i="2" s="1"/>
  <c r="J8" i="2" s="1"/>
  <c r="M110" i="8"/>
  <c r="K117" i="8"/>
  <c r="M74" i="8"/>
  <c r="G7" i="2"/>
  <c r="J7" i="2" s="1"/>
  <c r="J4" i="2"/>
  <c r="J3" i="2"/>
  <c r="I97" i="8" l="1"/>
  <c r="K97" i="8"/>
  <c r="K101" i="8" s="1"/>
  <c r="F12" i="2"/>
  <c r="E12" i="2"/>
  <c r="L76" i="8" l="1"/>
  <c r="L31" i="8"/>
  <c r="L32" i="8"/>
  <c r="L36" i="8"/>
  <c r="L41" i="8"/>
  <c r="L45" i="8"/>
  <c r="L49" i="8"/>
  <c r="L53" i="8"/>
  <c r="L38" i="8"/>
  <c r="L47" i="8"/>
  <c r="L51" i="8"/>
  <c r="L39" i="8"/>
  <c r="L44" i="8"/>
  <c r="L48" i="8"/>
  <c r="L56" i="8"/>
  <c r="L33" i="8"/>
  <c r="L37" i="8"/>
  <c r="L42" i="8"/>
  <c r="L46" i="8"/>
  <c r="L50" i="8"/>
  <c r="L54" i="8"/>
  <c r="L34" i="8"/>
  <c r="L43" i="8"/>
  <c r="L55" i="8"/>
  <c r="L35" i="8"/>
  <c r="L52" i="8"/>
  <c r="L61" i="8"/>
  <c r="L78" i="8"/>
  <c r="L15" i="8"/>
  <c r="L26" i="8"/>
  <c r="M27" i="8"/>
  <c r="L59" i="8"/>
  <c r="L30" i="8"/>
  <c r="L18" i="8"/>
  <c r="L88" i="8"/>
  <c r="L60" i="8"/>
  <c r="L84" i="8"/>
  <c r="M63" i="8"/>
  <c r="L66" i="8"/>
  <c r="L13" i="8"/>
  <c r="L22" i="8"/>
  <c r="L73" i="8"/>
  <c r="L20" i="8"/>
  <c r="L85" i="8"/>
  <c r="L86" i="8"/>
  <c r="L83" i="8"/>
  <c r="L67" i="8"/>
  <c r="L24" i="8"/>
  <c r="M94" i="8"/>
  <c r="L64" i="8"/>
  <c r="L93" i="8"/>
  <c r="L77" i="8"/>
  <c r="L21" i="8"/>
  <c r="M72" i="8"/>
  <c r="L29" i="8"/>
  <c r="L65" i="8"/>
  <c r="L92" i="8"/>
  <c r="L58" i="8"/>
  <c r="L91" i="8"/>
  <c r="L11" i="8"/>
  <c r="M87" i="8"/>
  <c r="L19" i="8"/>
  <c r="M82" i="8"/>
  <c r="L69" i="8"/>
  <c r="L74" i="8"/>
  <c r="M16" i="8"/>
  <c r="L79" i="8"/>
  <c r="L80" i="8"/>
  <c r="L89" i="8"/>
  <c r="L12" i="8"/>
  <c r="L10" i="8"/>
  <c r="L62" i="8"/>
  <c r="L71" i="8"/>
  <c r="L81" i="8"/>
  <c r="L23" i="8"/>
  <c r="L57" i="8"/>
  <c r="L28" i="8"/>
  <c r="M75" i="8"/>
  <c r="L68" i="8"/>
  <c r="L70" i="8"/>
  <c r="M90" i="8"/>
  <c r="L14" i="8"/>
  <c r="L9" i="8"/>
  <c r="L17" i="8"/>
  <c r="L25" i="8"/>
  <c r="J10" i="2"/>
  <c r="J9" i="2"/>
  <c r="J11" i="2"/>
  <c r="L99" i="8" l="1"/>
  <c r="J6" i="2"/>
  <c r="J5" i="2" l="1"/>
  <c r="J12" i="2" s="1"/>
  <c r="J13" i="2" s="1"/>
  <c r="H12" i="2"/>
  <c r="I12" i="2"/>
  <c r="G12" i="2"/>
</calcChain>
</file>

<file path=xl/sharedStrings.xml><?xml version="1.0" encoding="utf-8"?>
<sst xmlns="http://schemas.openxmlformats.org/spreadsheetml/2006/main" count="1169" uniqueCount="526">
  <si>
    <t>Unit Price</t>
  </si>
  <si>
    <t>Shop Drawings</t>
  </si>
  <si>
    <t>Warranty</t>
  </si>
  <si>
    <t>NEW YORK CITY COLLEGE OF TECHNOLOGY
NAMM HALL
LL11 CYCLE 7 &amp; 8 FACADE REPAIRS
JDE Number: 	345480/CR140</t>
  </si>
  <si>
    <t>300 JAY STREET
BROOKLYN, NY, 11201</t>
  </si>
  <si>
    <t>FLASHING (SHEET METAL AND FABRIC)</t>
  </si>
  <si>
    <t>CONCRETE RESTORATION</t>
  </si>
  <si>
    <t>JOINT SEALANTS</t>
  </si>
  <si>
    <t>PORTLAND CEMENT PLASTERING</t>
  </si>
  <si>
    <t>SUMMARY</t>
  </si>
  <si>
    <t>Sr. #</t>
  </si>
  <si>
    <t>CSI #</t>
  </si>
  <si>
    <t>Description</t>
  </si>
  <si>
    <t>Total Labor Cost</t>
  </si>
  <si>
    <t>Total Material Cost</t>
  </si>
  <si>
    <t>TOTAL COST</t>
  </si>
  <si>
    <t>CONTINGENCY</t>
  </si>
  <si>
    <t>PROFIT</t>
  </si>
  <si>
    <t>TOTAL</t>
  </si>
  <si>
    <t>01 00 00</t>
  </si>
  <si>
    <t>Division 01-General Requirements (Profitable)</t>
  </si>
  <si>
    <t>Division 01-General Requirements (Non-Profitable)</t>
  </si>
  <si>
    <t>Division 01-Special Requiremnets</t>
  </si>
  <si>
    <t>02 00 00</t>
  </si>
  <si>
    <t>Division 02 - Demolition</t>
  </si>
  <si>
    <t>03 00 00</t>
  </si>
  <si>
    <t>Division 03 - Concrete</t>
  </si>
  <si>
    <t>04 00 00</t>
  </si>
  <si>
    <t>Division 04 - Masonary</t>
  </si>
  <si>
    <t>07 00 00</t>
  </si>
  <si>
    <t>Division 07 - Thermal Protection</t>
  </si>
  <si>
    <t>09 00 00</t>
  </si>
  <si>
    <t>Division 09 - Finishes</t>
  </si>
  <si>
    <t>Division 02 - Asbestos</t>
  </si>
  <si>
    <t>SUB TOTAL</t>
  </si>
  <si>
    <t>TOTAL BID VALUE</t>
  </si>
  <si>
    <t>Sr #</t>
  </si>
  <si>
    <t>Key Note</t>
  </si>
  <si>
    <t>DWG #</t>
  </si>
  <si>
    <t>DETAIL #</t>
  </si>
  <si>
    <t>CSI NO</t>
  </si>
  <si>
    <t>DESCRIPTION</t>
  </si>
  <si>
    <t>UNIT</t>
  </si>
  <si>
    <t>QTY</t>
  </si>
  <si>
    <t>Material Price</t>
  </si>
  <si>
    <t>Labor Price</t>
  </si>
  <si>
    <t>TOTAL PRICE</t>
  </si>
  <si>
    <t>%age</t>
  </si>
  <si>
    <t>Persons</t>
  </si>
  <si>
    <t>Days</t>
  </si>
  <si>
    <t>Hours</t>
  </si>
  <si>
    <t>DIVISION 01-GENERAL REQUIREMENTS</t>
  </si>
  <si>
    <t>Profitable</t>
  </si>
  <si>
    <t>Mobilization</t>
  </si>
  <si>
    <t>LS</t>
  </si>
  <si>
    <t>Demobilization</t>
  </si>
  <si>
    <t>Site Safety</t>
  </si>
  <si>
    <t>Clean-up</t>
  </si>
  <si>
    <t>Portable Toilets</t>
  </si>
  <si>
    <t>MO</t>
  </si>
  <si>
    <t>Restore Staging Area (Site Office  Rented)</t>
  </si>
  <si>
    <t>Punchlist</t>
  </si>
  <si>
    <t>SUB-TOTAL</t>
  </si>
  <si>
    <t>Non- Profitable</t>
  </si>
  <si>
    <t>Permits and Compliance</t>
  </si>
  <si>
    <r>
      <t>Project Supervision</t>
    </r>
    <r>
      <rPr>
        <sz val="12"/>
        <rFont val="Times New Roman"/>
        <family val="1"/>
      </rPr>
      <t xml:space="preserve"> (8000/month)</t>
    </r>
  </si>
  <si>
    <t>Project Coordination</t>
  </si>
  <si>
    <t>Site Safety Inspector</t>
  </si>
  <si>
    <t xml:space="preserve">Project Schedules (CPM) </t>
  </si>
  <si>
    <t>Submittals</t>
  </si>
  <si>
    <t>Project Record Documents</t>
  </si>
  <si>
    <t>Project Close-out</t>
  </si>
  <si>
    <t>Temporary Power Panels / Temporary Lighting</t>
  </si>
  <si>
    <t>As built Documents</t>
  </si>
  <si>
    <t>Covid-19 Screening Station</t>
  </si>
  <si>
    <t>Special Requirements</t>
  </si>
  <si>
    <t xml:space="preserve">Dumpster for Debris Removal </t>
  </si>
  <si>
    <t>EA</t>
  </si>
  <si>
    <t>Chain Link fence (Already SRR Have)</t>
  </si>
  <si>
    <t>LF</t>
  </si>
  <si>
    <t xml:space="preserve">Suspended Hoist </t>
  </si>
  <si>
    <t xml:space="preserve">Boom Lift </t>
  </si>
  <si>
    <t>Calculations</t>
  </si>
  <si>
    <t>SAMPLES</t>
  </si>
  <si>
    <t>DEM 01</t>
  </si>
  <si>
    <t>A502</t>
  </si>
  <si>
    <t>JNT 01</t>
  </si>
  <si>
    <t>MAS 01</t>
  </si>
  <si>
    <t>SF</t>
  </si>
  <si>
    <t>CON 01</t>
  </si>
  <si>
    <t>A501</t>
  </si>
  <si>
    <t>PNT 01</t>
  </si>
  <si>
    <t>A503</t>
  </si>
  <si>
    <t>PNT 02</t>
  </si>
  <si>
    <t>STN 01</t>
  </si>
  <si>
    <t>A504</t>
  </si>
  <si>
    <t>STN 02</t>
  </si>
  <si>
    <t>SI</t>
  </si>
  <si>
    <t>STN 03</t>
  </si>
  <si>
    <t>Division 07 - Thermal and Moisture Protection</t>
  </si>
  <si>
    <t>FLA 01</t>
  </si>
  <si>
    <t xml:space="preserve">Re - Secure Existing Loose Flashing
- Existing Wall Mounted Copper Counter Flashing to Remain. Prepare to Receive Counter Flashing Piece
- Blind Rivet (Copper) Use to Secure 2- Piece Counter Flashing @ 36"
- Existing Termination Bar to Remain. Remove &amp; Replace Loose Fasteners to Match Existing
- Provide Copper Counter Flashing Lower Piece. </t>
  </si>
  <si>
    <t>COA 01</t>
  </si>
  <si>
    <t>PCB 1</t>
  </si>
  <si>
    <t>Control Joint Sealant/ Caulk</t>
  </si>
  <si>
    <t>Sub Contractor Price</t>
  </si>
  <si>
    <t>BASE BID TOTAL</t>
  </si>
  <si>
    <t>Grand Total (Base Bid )</t>
  </si>
  <si>
    <t>Unit Price Items</t>
  </si>
  <si>
    <t>CONCRETE RESTORATION
1. Warranty period for coated or sealed concrete repairs: Five (5) Years.
2. Warranty period for protective coatings and sealers: Five (5) Years.</t>
  </si>
  <si>
    <t>JOINT SEALANTS
Ten (10) Years, No Dollar Limit (NDL).</t>
  </si>
  <si>
    <t>PORTLAND CEMENT PLASTERING
Ten (10) Years.</t>
  </si>
  <si>
    <t>UNIT MASONRY RESTORATION
Brick: For each type of brick to be incorporated in the Work. Sample sets should be in
the form of straps or panels containing not less than 4 units</t>
  </si>
  <si>
    <t>STONE MASONRY RESTORATION
1. Patching Compound: For each type and color of patching compound to be incorporated
in the Work. Samples shall be fully cured.
2. Stone Masonry Units: For each stone unit type to be incorporated in the Work</t>
  </si>
  <si>
    <t>MASONRY MORTAR
1. Mortar Components: Dry samples (minimum 4 oz.) of each component.
a. Cement.
b. Lime.
c. Pigment (color).
d. Sand (aggregate) samples.
2. Scuffed Mortar (showing exposed aggregate): For each mortar expected to be
incorporated in the Work. Samples shall be fully cured and scuffed (showing exposing
aggregate), 6 inch long x 1/2 inch wide strips set in aluminum or plastic channels.
3. Tooled-only Mortar: For each mortar expected to be incorporated in the Work. Samples shall be fully cured and tooled-only (unscuffed), 6" long x 1/2" wide, set in aluminum or plastic channels.</t>
  </si>
  <si>
    <t>MASONRY ANCHORAGE AND REINFORCING
1. Anchors and Fasteners: For each type to be incorporated in the Work</t>
  </si>
  <si>
    <t>FLASHING (SHEET METAL AND FABRIC)
1. Sheet Metal: For each type to be incorporated in the Work. Samples shall be 12" square.
2. Pre-formed Sheet Metal Flashing: For each type to be incorporated in the Work.
Samples shall be 12" long.
3. Sheet Metal Counterflashing: For each type to be incorporated in the Work. Samples
shall be 12" long.
4. Composite Fabric Flashing: For each type to be incorporated in the Work. Samples shall
be 12" square.
5. Accessories: For each type of termination bar, metal clip, strap, anchor, and hammer
drive anchor to be incorporated in the Work</t>
  </si>
  <si>
    <t>JOINT SEALANTS
1. Sealant: For each type and color of sealant to be incorporated in the Work. Samples
shall be fully cured.</t>
  </si>
  <si>
    <t>PORTLAND CEMENT PLASTERING
1. Galvanized Metal Lath: For each type to be incorporated in the Work. Samples shall be
12" square.
2. Galvanized Metal "J" Bead: For each type to be incorporated in the Work. Samples shall be 12" long.</t>
  </si>
  <si>
    <t>STEEL COATINGS
For each coating type, color and steel substrate combination to be incorporated in
the Work. Samples shall be fully cured, 8" square, with stepped coats to show each coat
required for system; label each coat</t>
  </si>
  <si>
    <t>Test</t>
  </si>
  <si>
    <t>CONCRETE RESTORATION
1. Concrete Spall Restoration Bond Strength Test Reports.
2. Traffic Coating (Balcony Floor and Parking Deck) Bond Strength Test.
3. Non-Traffic Coating (Finish Coating) Bond Strength Test</t>
  </si>
  <si>
    <t>UNIT MASONRY RESTORATION
1. Brick Test Reports (On-demand).</t>
  </si>
  <si>
    <t>MASONRY ANCHORAGE AND REINFORCING
1. Anchorage Pull-out Test</t>
  </si>
  <si>
    <t xml:space="preserve">Site Safety Plan/Logistics Plan </t>
  </si>
  <si>
    <t>Site Safety Program</t>
  </si>
  <si>
    <t>Chain Link fence</t>
  </si>
  <si>
    <t>Quality Control Plan</t>
  </si>
  <si>
    <t xml:space="preserve">DOT Permit </t>
  </si>
  <si>
    <t>Qualified professional engineer to design temporary shoring, bracing, and structural support</t>
  </si>
  <si>
    <t>Joint Sealnt Replacement
- Backer rod
- Sealant: NT (NS)</t>
  </si>
  <si>
    <t>Week</t>
  </si>
  <si>
    <t>`</t>
  </si>
  <si>
    <t xml:space="preserve">Water Filled Barricates </t>
  </si>
  <si>
    <t>Sidewalk Shed at South Entrance and East Elevation</t>
  </si>
  <si>
    <t>Pipe Scaffold @ East Elevation</t>
  </si>
  <si>
    <t>Man Lift for East Elevation</t>
  </si>
  <si>
    <t>Lift for Mobility</t>
  </si>
  <si>
    <t>Scaffold Stand for Bulkhead (30'-0" H)</t>
  </si>
  <si>
    <t>Hanging Scaffolding for Bulkhead West Elevation</t>
  </si>
  <si>
    <t>Removal of Bulkhead Netting (6 Location)
- Remove Existing Netting and Associated Anchorage. Existing Anchorage Shall be Cut Flush</t>
  </si>
  <si>
    <t>Brick Masonary Repairs (4 Location)
- Remove Existing Cracked Brick Masonary</t>
  </si>
  <si>
    <t xml:space="preserve">Concrete Spall Repair (2 Location)
- Create an Enlarged Cavity by Providing a Saw Cut Edge 1/2" in Depth
- Enlarged Cavity to be Rectilinear, with Edges Paralled and Perpendicular to the Edge of Concrete Spandrel Beam
- Remove any/ All Deteriorated/ Delaminated Concrete in Cavity </t>
  </si>
  <si>
    <t>Re Pointing Mortar Joints: Stone Masonary (22 Location)
- Remove Existing Mortar to Sound Substrate (3/4" Min.)
- Clean Out Devris of Raked Out Joint With Electric Air Blower</t>
  </si>
  <si>
    <t>Re Pointing Mortar Joints: Brick Masonary (4 Location)
- Remove Existing Mortar to Sound Substrate (3/4" Min.)
- Clean Out Devris of Raked Out Joint With Electric Air Blower</t>
  </si>
  <si>
    <t>Stone Replacement (3 Location)
- Existing Stone Panel to Remain. Shore as Required
- Remove Damged Stone Panel</t>
  </si>
  <si>
    <t>Stone Repair: Spall (8 Location)
- Saw Cut Edge (Perimeter of Enlarged Cavity)
- Removal of Loose Material</t>
  </si>
  <si>
    <t>Brick Masonary Repairs (4 Location)
- Veneer Anchor @ Every 3 Courses Vertically 6" O.C.
- Brick
- Mortar: ASTM C270 Type N</t>
  </si>
  <si>
    <t>Re Pointing Mortar Joints: Stone Masonary (22 Location)
- Saturate Stone Masonary Units
- Mortar: ASTM C270 Type N, Apply in 1/4" Lifts</t>
  </si>
  <si>
    <t>Re Pointing Mortar Joints: Brick Masonary (4 Location)
- Saturate Masonary Units
- Mortar: ASTM C270 Type N, Apply in 1/4" Lifts</t>
  </si>
  <si>
    <t>Stone Repair: Spall (8 Location)
- 1/4" Dia. Adhesive Anchor: Dispense Injected/ threaded Rod @ 6" O.C.
- Epoxy Adhesive
- Patching Compound - Limestone
- Mortar: ASTM C270 Type N</t>
  </si>
  <si>
    <t>Stone Repair: Crack Injection (4 Location)
- Rout Joint and Crack
- Injection Ports Drill into Crack @ 6" O.C.
- Micro Injection Grout Inject into Crack Using Injection Ports</t>
  </si>
  <si>
    <t>Joint Sealnt Replacement (17 Location)
- Backer rod
- Sealant: NT (NS)</t>
  </si>
  <si>
    <t>Bulkhead Netting (6 Location)
- Sealant Shall be Applied. Tool Sealant to Eliminate Air Pockets and to Orovide Contact of Sealant to All Sides of Joint</t>
  </si>
  <si>
    <t>Steel Coating: Lintel (1 Location)
- Existing Façade Stone and Masonary Around Steel to Remain to be Protected. Use Masking Tape &amp; Poly Sheet Protection as Needed when Coating Steel Angle
- Prepare Exposed Steel Surfaces of Existing Lintel and Coat with Steel Coating Type: 3ER
- Existing Metal Door Frame to Remain Protected during Construction as Needed
- Brick Masonary to Remain Protected</t>
  </si>
  <si>
    <t>MATERIAL DESCRIPTION</t>
  </si>
  <si>
    <t>MANUFACTURER NAME</t>
  </si>
  <si>
    <t>COVERAGE</t>
  </si>
  <si>
    <t>UNIT PRICE</t>
  </si>
  <si>
    <t>5% ESCALATION</t>
  </si>
  <si>
    <t>SOURCE</t>
  </si>
  <si>
    <t>Bonding Agent</t>
  </si>
  <si>
    <t>BASF</t>
  </si>
  <si>
    <t>Corrosion Resistant Rebar Coating</t>
  </si>
  <si>
    <t>MasterProtect P 8100 AP</t>
  </si>
  <si>
    <t>Structural Concrete Repair Mortar (Troweled)</t>
  </si>
  <si>
    <t>Curing Agent</t>
  </si>
  <si>
    <t>MasterEmaco A 400</t>
  </si>
  <si>
    <t>UNIT MASONRY RESTORATION</t>
  </si>
  <si>
    <t>Compressible Filler (Neoprene)</t>
  </si>
  <si>
    <t>NS-Closed Cell Neoprene Sponge</t>
  </si>
  <si>
    <t>Hohmann &amp; Barnard</t>
  </si>
  <si>
    <t>Weep Slot</t>
  </si>
  <si>
    <t>QV Quadro-Vent</t>
  </si>
  <si>
    <t>STONE MASONRY RESTORATION</t>
  </si>
  <si>
    <t>Micro Injection Grout (Hairline to 3/16"): S</t>
  </si>
  <si>
    <t>Jahn M30 #32</t>
  </si>
  <si>
    <t>Cathedral Stone Products, Inc.</t>
  </si>
  <si>
    <t>Pump-X53iL</t>
  </si>
  <si>
    <t>Edison Coatings, Inc.</t>
  </si>
  <si>
    <t>Dispersed Hydrated Lime Injection Mortar</t>
  </si>
  <si>
    <t>US Heritage Group</t>
  </si>
  <si>
    <t>Crack and Void Injection Grout (3/16” and up)</t>
  </si>
  <si>
    <t>Jahn M40 Crack and Void Injection Grout</t>
  </si>
  <si>
    <t>Pump-X53i</t>
  </si>
  <si>
    <t>Pump-X53</t>
  </si>
  <si>
    <t>Pump-X53iE</t>
  </si>
  <si>
    <t>Patching Compound</t>
  </si>
  <si>
    <t>M70 Jahn Restoration Mortar</t>
  </si>
  <si>
    <t>Cathedral Stone Products,
Inc.</t>
  </si>
  <si>
    <t>AAnchoring Compound</t>
  </si>
  <si>
    <t>M80 Jahn Restoration Mortar</t>
  </si>
  <si>
    <t>Dowels (Stainless Steel)</t>
  </si>
  <si>
    <t>DA 870</t>
  </si>
  <si>
    <t>Dur-O-Wal</t>
  </si>
  <si>
    <t>406 Stone Anchor</t>
  </si>
  <si>
    <t>Injection Ports (HDP)</t>
  </si>
  <si>
    <t>For Drilled Socket:</t>
  </si>
  <si>
    <t>Injecti-Port I</t>
  </si>
  <si>
    <t>Lily Corporation</t>
  </si>
  <si>
    <t>For Surface Mount:</t>
  </si>
  <si>
    <t>Injecti-Port II</t>
  </si>
  <si>
    <t>For Surface Mount at Interior Corners:</t>
  </si>
  <si>
    <t>Nestler P-380</t>
  </si>
  <si>
    <t>Plastic Bearing Shim</t>
  </si>
  <si>
    <t>#185-P</t>
  </si>
  <si>
    <t>Heckmann Building Products, Inc.</t>
  </si>
  <si>
    <t>040513</t>
  </si>
  <si>
    <t>MASONRY MORTAR</t>
  </si>
  <si>
    <t>Mortar: ASTM C 270 Type N</t>
  </si>
  <si>
    <t>Spec-Joint 46 Custom Color (Type N)</t>
  </si>
  <si>
    <t>Spec Mix Preblended PCL Sand Color (Type N)</t>
  </si>
  <si>
    <t>Spec Mix, Inc.</t>
  </si>
  <si>
    <t>040519</t>
  </si>
  <si>
    <t>MASONRY ANCHORAGE AND REINFORCING</t>
  </si>
  <si>
    <t>Expansion Anchor</t>
  </si>
  <si>
    <t>Kwik Bolt Tension Zone (KB-TZ)</t>
  </si>
  <si>
    <t>Hilti</t>
  </si>
  <si>
    <t>Power-Stud+ SD4 Expansion Anchor</t>
  </si>
  <si>
    <t>Powers Fasteners</t>
  </si>
  <si>
    <t>TTrubolt+ Anchor</t>
  </si>
  <si>
    <t>ITW Red Head</t>
  </si>
  <si>
    <t>Anchorage Adhesive</t>
  </si>
  <si>
    <t>HIT-RE 500 V3 Injectable Mortar</t>
  </si>
  <si>
    <t>PE1000+ Adhesive Anchoring System</t>
  </si>
  <si>
    <t>ET-HP Anchoring Adhesive</t>
  </si>
  <si>
    <t>Simpson Strong-Tie</t>
  </si>
  <si>
    <t>Threaded Rod</t>
  </si>
  <si>
    <t>Veneer Anchor (To Masonry/Concrete)</t>
  </si>
  <si>
    <t>Expansion Anchor: HB-BL-523 Brass Expansion Anchor</t>
  </si>
  <si>
    <t>Stone Anchors</t>
  </si>
  <si>
    <t>#433 – Stone Anchors</t>
  </si>
  <si>
    <t>Concealed Stone Anchor</t>
  </si>
  <si>
    <t>#451 – Stone Anchors</t>
  </si>
  <si>
    <t>Reinforcing Bar Steel Connector</t>
  </si>
  <si>
    <t>D250 Bar Lock Couplers</t>
  </si>
  <si>
    <t>Dayton Superior</t>
  </si>
  <si>
    <t>Lenton Lock</t>
  </si>
  <si>
    <t>Erico/Pentair</t>
  </si>
  <si>
    <t>076200</t>
  </si>
  <si>
    <t>York</t>
  </si>
  <si>
    <t>Butyl Caulk</t>
  </si>
  <si>
    <t>SikaLastomer 511</t>
  </si>
  <si>
    <t>Sika</t>
  </si>
  <si>
    <t>Butyl Sealant</t>
  </si>
  <si>
    <t>Tremco</t>
  </si>
  <si>
    <t>Utility Mastic</t>
  </si>
  <si>
    <t>Cop-R-Tite</t>
  </si>
  <si>
    <t>Hammer Drive Anchor</t>
  </si>
  <si>
    <t>HMH SS 304 Metal Anchor</t>
  </si>
  <si>
    <t>Zamac Hammer Screw</t>
  </si>
  <si>
    <t>Powers</t>
  </si>
  <si>
    <t>Zinc Nailon Pin Drive Anchor</t>
  </si>
  <si>
    <t>079200</t>
  </si>
  <si>
    <t>Sealant: NT(NS)</t>
  </si>
  <si>
    <t>795 Silicone Building Sealant</t>
  </si>
  <si>
    <t>Silpruf SCS2000</t>
  </si>
  <si>
    <t>Momentive Performance Materials</t>
  </si>
  <si>
    <t>DA 2010 Rapid Soft Joint</t>
  </si>
  <si>
    <t>Backer Rod</t>
  </si>
  <si>
    <t>Sof-Rod</t>
  </si>
  <si>
    <t>Nomaco</t>
  </si>
  <si>
    <t>104 Soft Type</t>
  </si>
  <si>
    <t>ITP</t>
  </si>
  <si>
    <t>Titan Foam Bi-Cellular Soft Cell Polyurethane</t>
  </si>
  <si>
    <t>Backer Rod Mfg, Inc.</t>
  </si>
  <si>
    <t>092400</t>
  </si>
  <si>
    <t>Bond Coat</t>
  </si>
  <si>
    <t>Stucco Base</t>
  </si>
  <si>
    <t>Sto</t>
  </si>
  <si>
    <t>Base Coat</t>
  </si>
  <si>
    <t>Senergy Base Coat</t>
  </si>
  <si>
    <t>Finish Coat</t>
  </si>
  <si>
    <t>Senerlastic finsing (color selected by Owner)</t>
  </si>
  <si>
    <t>Textured Finish (color selected by Owner)</t>
  </si>
  <si>
    <t>099713</t>
  </si>
  <si>
    <t>STEEL COATINGS</t>
  </si>
  <si>
    <t>Steel Coating: 3ER</t>
  </si>
  <si>
    <t>Sherwin Williams 3-Coat System:</t>
  </si>
  <si>
    <t>Prime Coat (Mill White Color): Macropoxy 646 Fast Cure Epoxy</t>
  </si>
  <si>
    <t>Sherwin Williams</t>
  </si>
  <si>
    <t>Second Coat (Gray Color): Macropoxy 646 Fast Cure Epoxy</t>
  </si>
  <si>
    <t>Top Coat ( Black Color): Acrolon 218 HS</t>
  </si>
  <si>
    <t>Prime Coat (Red Color): Amerlock 2</t>
  </si>
  <si>
    <t>PPG</t>
  </si>
  <si>
    <t>Additional Materials</t>
  </si>
  <si>
    <t>Commercial Unit</t>
  </si>
  <si>
    <t>Material Qty</t>
  </si>
  <si>
    <t>Unit Material Price</t>
  </si>
  <si>
    <t>Total Material Price</t>
  </si>
  <si>
    <t>Accessories</t>
  </si>
  <si>
    <t>Total</t>
  </si>
  <si>
    <t xml:space="preserve"> (1/8" Dia.) Stainless Steel Threaded Rod</t>
  </si>
  <si>
    <t>Deformed Reonforcing Bar (Epoxy Coated)</t>
  </si>
  <si>
    <t>CF</t>
  </si>
  <si>
    <t>Brick (2"x8")</t>
  </si>
  <si>
    <t>Dowels (Stainless Steel) 3/8" Dia.</t>
  </si>
  <si>
    <t>Steel Shim</t>
  </si>
  <si>
    <t xml:space="preserve">Expansion Anchors </t>
  </si>
  <si>
    <t>Masonary Stone Panel (5'-0"x3'-6")</t>
  </si>
  <si>
    <t>Copper Counter Flashing</t>
  </si>
  <si>
    <t>Blind Rivet (Copper)</t>
  </si>
  <si>
    <t xml:space="preserve">Sealant: </t>
  </si>
  <si>
    <t>Top Coat (White Color to Match Existing): Amercoat 450H</t>
  </si>
  <si>
    <t>Second Coat (Gray Color): Amerlock 2</t>
  </si>
  <si>
    <t>PPG 3-Coat System:</t>
  </si>
  <si>
    <t>Sherwin williams invoice for york college</t>
  </si>
  <si>
    <t>260 SF/Gal</t>
  </si>
  <si>
    <t>Gal</t>
  </si>
  <si>
    <t>Top Coat (White Color to Match Existing):Acrolon 218 HS</t>
  </si>
  <si>
    <t>https://www.sherwin-williams.com/homeowners/products/macropoxy-646100</t>
  </si>
  <si>
    <t>170 SF/Gal</t>
  </si>
  <si>
    <t>Top Coat (Gray): Macropoxy 646 Fast Cure Epoxy</t>
  </si>
  <si>
    <t>https://www.homedepot.com/p/Mutual-Industries-1-50-in-x-420-ft-Closed-Cell-Backer-Rod-1500-0-0/304197595</t>
  </si>
  <si>
    <t>420 LF</t>
  </si>
  <si>
    <t>420' Roll</t>
  </si>
  <si>
    <t>https://www.masonrydirect.com/products/closed-cell-neoprene-sponge-control-joint</t>
  </si>
  <si>
    <t>50 LF</t>
  </si>
  <si>
    <t>Roll</t>
  </si>
  <si>
    <t>https://metrosealant.com/product/ge-silpruf-neutral-cure-silicone-20-oz-sausage/?attribute_color=SCS2009S+Aluminum+Gray&amp;gclid=CjwKCAjw_b6WBhAQEiwAp4HyID9bcR04aUmLflB75FgtMyfo9xQekbcXLH9lFp0ASnsdcSx0ZvLAkBoC4XwQAvD_BwE</t>
  </si>
  <si>
    <t>20 oz tube</t>
  </si>
  <si>
    <t>https://www.whitecap.com/p/dow-795-20-oz-40-to-300-degree-silicone-building-sealant-40825/2329697/306dc795bl20?gclid=CjwKCAjw_b6WBhAQEiwAp4HyIEk_6-0eMXu87BctuxPQ1StdOWKQU8RVUmTSYMd-nF3agAy2KRAPbBoCL70QAvD_BwE</t>
  </si>
  <si>
    <t>Dow Corning Corporation</t>
  </si>
  <si>
    <t>https://www.hilti.com/c/CLS_FASTENER_7135/CLS_SLEEVE_ANCHORS_NAIL_ANCHORS_7135/r4497?CHD_ANCHOR_LENGTH=2%20in&amp;combo_content=884a6325c5f164f3cc6d5f97bd3e3231&amp;salespackquantity=100%20pc&amp;itemCode=230570</t>
  </si>
  <si>
    <t>Box of 100</t>
  </si>
  <si>
    <t>30 SF</t>
  </si>
  <si>
    <t>https://www.emisupply.com/catalog/sikalastomer511-offwhite-nonskinning-butyl-caulk-300ml-cartridge-p-25553.html</t>
  </si>
  <si>
    <t>Tube</t>
  </si>
  <si>
    <t>https://www.whitecap.com/p/dayton-superior-5-bar-lock-coupler-56729/400201/13239301</t>
  </si>
  <si>
    <t>https://www.homedepot.com/p/Simpson-Strong-Tie-Wedge-All-3-8-in-x-3-in-Type-304-Stainless-Steel-Expansion-Anchor-50-Pack-WA373004SS/205302256</t>
  </si>
  <si>
    <t>Package of 50</t>
  </si>
  <si>
    <t>Quote</t>
  </si>
  <si>
    <t>Tie: HB-345-SV with wire</t>
  </si>
  <si>
    <t>https://www.homedepot.com/p/Simpson-Strong-Tie-ATR-5-8-in-x-36-in-Zinc-Plated-All-Thread-Rod-ATR5-8X36ZP/205330040</t>
  </si>
  <si>
    <t>https://www.hilti.com/c/CLS_FASTENER_7135/CLS_WEDGE_ANCHORS_7135/r6281?CHA_GLOBAL_ANC_SIZE=1%2F2%20in&amp;CHD_ANCHOR_LENGTH=4-1%2F2%20in&amp;combo_content=c144065ea3bf9905a371a7a79a82f2ac&amp;salespackquantity=20%20pc&amp;itemCode=387513</t>
  </si>
  <si>
    <t>10 oz tube</t>
  </si>
  <si>
    <t>Box of 20</t>
  </si>
  <si>
    <t>Taken on call</t>
  </si>
  <si>
    <t>13 Blocks per bag</t>
  </si>
  <si>
    <t>80 lb bag</t>
  </si>
  <si>
    <t>https://coastalone.com/lily-nestler-nozzle-p-380-box-of-50.html</t>
  </si>
  <si>
    <t>Bax of 50</t>
  </si>
  <si>
    <t>https://chasephipps.com/p-375-injecti-port-ii-nozzle-sold-individually/</t>
  </si>
  <si>
    <t>https://chasephipps.com/p-235-injecti-port-i-nozzle-packer-sold-individually/</t>
  </si>
  <si>
    <t>https://www.becn.com/productDetail/C-605033</t>
  </si>
  <si>
    <t>5 gal</t>
  </si>
  <si>
    <t>https://chasephipps.com/jahn-m70-limestone-repair-mortar/</t>
  </si>
  <si>
    <t>0.5 ft³ (12 ft² at 1/2” thickness)</t>
  </si>
  <si>
    <t>Unit</t>
  </si>
  <si>
    <t>https://www.edisoncoatings.com/store/pump_x53.html</t>
  </si>
  <si>
    <t>0.25 CFT</t>
  </si>
  <si>
    <t>2 gal Pail</t>
  </si>
  <si>
    <t>Raw quote</t>
  </si>
  <si>
    <t>Box of 200</t>
  </si>
  <si>
    <t>https://www.emisupply.com/catalog/masteremaco-acrylicpolymer-modifier-master-builders-repair-mortars-p-69250.html?utm_term=MBS-57714338&amp;utm_campaign=google-product-search-us-en&amp;utm_medium=product_search&amp;utm_source=googprod&amp;gclid=Cj0KCQjw0oyYBhDGARIsAMZEuMtwAvPJvP3lzPEI5dKoZ6mW73tPjrIdfjSUomjjczZlJ8NycNy_XMMaAlAREALw_wcB</t>
  </si>
  <si>
    <t>0.5 CFT</t>
  </si>
  <si>
    <t>https://coastalone.com/masteremaco-n-400rs.html</t>
  </si>
  <si>
    <t>Kit</t>
  </si>
  <si>
    <t>MasterEmaco N 400 RS [MasterEmaco N 400]</t>
  </si>
  <si>
    <t>https://www.bestmaterials.com/detail.aspx?ID=16619&amp;gclid=Cj0KCQjw0oyYBhDGARIsAMZEuMtlYz5v-pAa1t214kH88afJc2OFTHFm7izmHYe3aZluNOemWXA6Q3kaAtLEEALw_wcB</t>
  </si>
  <si>
    <t>150–250 LF per can (# 4 rebar)</t>
  </si>
  <si>
    <t>Quart</t>
  </si>
  <si>
    <t>https://coastalone.com/masteremaco-p-124.html</t>
  </si>
  <si>
    <t>80 SF/Gal</t>
  </si>
  <si>
    <t>2.7 Gal 3 part</t>
  </si>
  <si>
    <t>Bonding Agent: MasterEmaco P 124</t>
  </si>
  <si>
    <t>ASBESTOS ABATEMENT</t>
  </si>
  <si>
    <t>Local 79</t>
  </si>
  <si>
    <t>Local 780</t>
  </si>
  <si>
    <t>Local 1 (Pointer)</t>
  </si>
  <si>
    <t>DC 9 - painter</t>
  </si>
  <si>
    <t>Brick Masonary Repairs 
- Remove Existing Cracked Brick Masonary</t>
  </si>
  <si>
    <t>Brick Masonary Repairs 
- Veneer Anchor @ Every 3 Courses Vertically 6" O.C.
- Brick
- Mortar: ASTM C270 Type N</t>
  </si>
  <si>
    <t>Stone Repair: Spall 
- Saw Cut Edge (Perimeter of Enlarged Cavity)
- Removal of Loose Material</t>
  </si>
  <si>
    <t>Stone Repair: Spall
- 1/4" Dia. Adhesive Anchor: Dispense Injected/ threaded Rod @ 6" O.C.
- Epoxy Adhesive
- Patching Compound - Limestone
- Mortar: ASTM C270 Type N</t>
  </si>
  <si>
    <t>Re Pointing Mortar Joints: Stone Masonary 
- Remove Existing Mortar to Sound Substrate (3/4" Min.)
- Clean Out Devris of Raked Out Joint With Electric Air Blower</t>
  </si>
  <si>
    <t>Re Pointing Mortar Joints: Stone Masonary 
- Saturate Stone Masonary Units
- Mortar: ASTM C270 Type N, Apply in 1/4" Lifts</t>
  </si>
  <si>
    <t>Re Pointing Mortar Joints: Brick Masonary 
- Remove Existing Mortar to Sound Substrate (3/4" Min.)
- Clean Out Devris of Raked Out Joint With Electric Air Blower</t>
  </si>
  <si>
    <t>Re Pointing Mortar Joints: Brick Masonary 
- Saturate Masonary Units
- Mortar: ASTM C270 Type N, Apply in 1/4" Lifts</t>
  </si>
  <si>
    <t>Corrosion Rebar Coating: MasterProtect P 8100 AP</t>
  </si>
  <si>
    <t>Epoxy Adhesive: HIT-RE 500 V3 Injectable Mortar</t>
  </si>
  <si>
    <t>Mortar: MasterEmaco N 400 RS [MasterEmaco N 400]</t>
  </si>
  <si>
    <t>Concrete Spall Repair (2 Location)
- (1/8" Dia.) Stainless Steel Threaded Rod @ 12" O.C. Set in a Epoxy Grout
- Corrosion Resistant Rebar Coating
- Bonding Agent
- Modified Repair Mortar
- Curing Agent</t>
  </si>
  <si>
    <t>Curing Agent: MasterEmaco A 400</t>
  </si>
  <si>
    <t>Injection Ports: Injecti-Port I</t>
  </si>
  <si>
    <t>Micro Injection Grout: Pump-X53i</t>
  </si>
  <si>
    <t>Mortar: Spec Mix Preblended PCL Sand Color (Type N)</t>
  </si>
  <si>
    <t>(2x4) Blocking</t>
  </si>
  <si>
    <t>(2x4) Support</t>
  </si>
  <si>
    <t>Plastic Bearing Shim: #185-P</t>
  </si>
  <si>
    <t>3/8" Dia.(6" L)</t>
  </si>
  <si>
    <t>Concealed Stone Anchors: #451 – Stone Anchors</t>
  </si>
  <si>
    <t>Weep Slots: QV Quadro-Vent</t>
  </si>
  <si>
    <t>Patching Compound: M70 Jahn Restoration Mortar</t>
  </si>
  <si>
    <t>1/4" Dia. Anchor (4" L)</t>
  </si>
  <si>
    <t>Backer rod: 104 Soft Type</t>
  </si>
  <si>
    <t>Sealant: 795 Silicone Building Sealant</t>
  </si>
  <si>
    <t>Masking Tape @ Steel Coating</t>
  </si>
  <si>
    <t>Poly Sheet @ Steel Coating</t>
  </si>
  <si>
    <t>Sidewalk Shed at South Entrance (2 Months)</t>
  </si>
  <si>
    <t>DOT Permit (if manlift is required)</t>
  </si>
  <si>
    <t>Side walk shed at East Elevation (4 months)</t>
  </si>
  <si>
    <r>
      <rPr>
        <b/>
        <sz val="12"/>
        <rFont val="Times New Roman"/>
        <family val="1"/>
      </rPr>
      <t>Removal of Bulkhead Netting (6 Location)</t>
    </r>
    <r>
      <rPr>
        <sz val="12"/>
        <rFont val="Times New Roman"/>
        <family val="1"/>
      </rPr>
      <t xml:space="preserve">
- Remove Existing Netting and Associated Anchorage. Existing Anchorage Shall be Cut Flush</t>
    </r>
  </si>
  <si>
    <r>
      <rPr>
        <b/>
        <sz val="12"/>
        <rFont val="Times New Roman"/>
        <family val="1"/>
      </rPr>
      <t>Brick Masonary Repairs (4 Location)</t>
    </r>
    <r>
      <rPr>
        <sz val="12"/>
        <rFont val="Times New Roman"/>
        <family val="1"/>
      </rPr>
      <t xml:space="preserve">
- Remove Existing Cracked Brick Masonary</t>
    </r>
  </si>
  <si>
    <r>
      <rPr>
        <b/>
        <sz val="12"/>
        <rFont val="Times New Roman"/>
        <family val="1"/>
      </rPr>
      <t>Concrete Spall Repair (2 Location)</t>
    </r>
    <r>
      <rPr>
        <sz val="12"/>
        <rFont val="Times New Roman"/>
        <family val="1"/>
      </rPr>
      <t xml:space="preserve">
- Create an Enlarged Cavity by Providing a Saw Cut Edge 1/2" in Depth
- Enlarged Cavity to be Rectilinear, with Edges Paralled and Perpendicular to the Edge of Concrete Spandrel Beam
- Remove any/ All Deteriorated/ Delaminated Concrete in Cavity </t>
    </r>
  </si>
  <si>
    <r>
      <rPr>
        <b/>
        <sz val="12"/>
        <rFont val="Times New Roman"/>
        <family val="1"/>
      </rPr>
      <t>Re Pointing Mortar Joints: Stone Masonary (22 Location)</t>
    </r>
    <r>
      <rPr>
        <sz val="12"/>
        <rFont val="Times New Roman"/>
        <family val="1"/>
      </rPr>
      <t xml:space="preserve">
- Remove Existing Mortar to Sound Substrate (3/4" Min.)
- Clean Out Devris of Raked Out Joint With Electric Air Blower</t>
    </r>
  </si>
  <si>
    <r>
      <rPr>
        <b/>
        <sz val="12"/>
        <rFont val="Times New Roman"/>
        <family val="1"/>
      </rPr>
      <t>Re Pointing Mortar Joints: Brick Masonary (4 Location)</t>
    </r>
    <r>
      <rPr>
        <sz val="12"/>
        <rFont val="Times New Roman"/>
        <family val="1"/>
      </rPr>
      <t xml:space="preserve">
- Remove Existing Mortar to Sound Substrate (3/4" Min.)
- Clean Out Devris of Raked Out Joint With Electric Air Blower</t>
    </r>
  </si>
  <si>
    <r>
      <rPr>
        <b/>
        <sz val="12"/>
        <rFont val="Times New Roman"/>
        <family val="1"/>
      </rPr>
      <t>Stone Replacement (3 Location)</t>
    </r>
    <r>
      <rPr>
        <sz val="12"/>
        <rFont val="Times New Roman"/>
        <family val="1"/>
      </rPr>
      <t xml:space="preserve">
- Existing Stone Panel to Remain. 
- Remove Damged Stone Panel</t>
    </r>
  </si>
  <si>
    <r>
      <rPr>
        <b/>
        <sz val="12"/>
        <rFont val="Times New Roman"/>
        <family val="1"/>
      </rPr>
      <t>Stone Repair: Spall (8 Location)</t>
    </r>
    <r>
      <rPr>
        <sz val="12"/>
        <rFont val="Times New Roman"/>
        <family val="1"/>
      </rPr>
      <t xml:space="preserve">
- Saw Cut Edge (Perimeter of Enlarged Cavity)
- Removal of Loose Material</t>
    </r>
  </si>
  <si>
    <r>
      <rPr>
        <b/>
        <sz val="12"/>
        <rFont val="Times New Roman"/>
        <family val="1"/>
      </rPr>
      <t>Concrete Spall Repair (2 Location)</t>
    </r>
    <r>
      <rPr>
        <sz val="12"/>
        <rFont val="Times New Roman"/>
        <family val="1"/>
      </rPr>
      <t xml:space="preserve">
- (1/8" Dia.) Stainless Steel Threaded Rod @ 12" O.C. Set in a Epoxy Grout
- Corrosion Resistant Rebar Coating
- Bonding Agent
- Modified Repair Mortar</t>
    </r>
  </si>
  <si>
    <r>
      <rPr>
        <b/>
        <sz val="12"/>
        <rFont val="Times New Roman"/>
        <family val="1"/>
      </rPr>
      <t>Brick Masonary Repairs (4 Location)</t>
    </r>
    <r>
      <rPr>
        <sz val="12"/>
        <rFont val="Times New Roman"/>
        <family val="1"/>
      </rPr>
      <t xml:space="preserve">
- Veneer Anchor @ Every 3 Courses Vertically 6" O.C.
- Brick
- Mortar: ASTM C270 Type N</t>
    </r>
  </si>
  <si>
    <r>
      <rPr>
        <b/>
        <sz val="12"/>
        <rFont val="Times New Roman"/>
        <family val="1"/>
      </rPr>
      <t>Re Pointing Mortar Joints: Stone Masonary (22 Location)</t>
    </r>
    <r>
      <rPr>
        <sz val="12"/>
        <rFont val="Times New Roman"/>
        <family val="1"/>
      </rPr>
      <t xml:space="preserve">
- Saturate Stone Masonary Units
- Mortar: ASTM C270 Type N, Apply in 1/4" Lifts</t>
    </r>
  </si>
  <si>
    <r>
      <rPr>
        <b/>
        <sz val="12"/>
        <rFont val="Times New Roman"/>
        <family val="1"/>
      </rPr>
      <t>Re Pointing Mortar Joints: Brick Masonary (4 Location)</t>
    </r>
    <r>
      <rPr>
        <sz val="12"/>
        <rFont val="Times New Roman"/>
        <family val="1"/>
      </rPr>
      <t xml:space="preserve">
- Saturate Masonary Units
- Mortar: ASTM C270 Type N, Apply in 1/4" Lifts</t>
    </r>
  </si>
  <si>
    <r>
      <rPr>
        <b/>
        <sz val="12"/>
        <rFont val="Times New Roman"/>
        <family val="1"/>
      </rPr>
      <t>Stone Repair: Spall (8 Location)</t>
    </r>
    <r>
      <rPr>
        <sz val="12"/>
        <rFont val="Times New Roman"/>
        <family val="1"/>
      </rPr>
      <t xml:space="preserve">
- 1/4" Dia. Adhesive Anchor: Dispense Injected/ threaded Rod @ 6" O.C.
- Epoxy Adhesive
- Patching Compound - Limestone
- Mortar: ASTM C270 Type N</t>
    </r>
  </si>
  <si>
    <r>
      <rPr>
        <b/>
        <sz val="14"/>
        <rFont val="Times New Roman"/>
        <family val="1"/>
      </rPr>
      <t>Re - Secure Existing Loose Flashing</t>
    </r>
    <r>
      <rPr>
        <sz val="14"/>
        <rFont val="Times New Roman"/>
        <family val="1"/>
      </rPr>
      <t xml:space="preserve">
- Existing Wall Mounted Copper Counter Flashing to Remain. Prepare to Receive Counter Flashing Piece
- Blind Rivet (Copper) Use to Secure 2- Piece Counter Flashing @ 36"
- Existing Termination Bar to Remain. Remove &amp; Replace Loose Fasteners to Match Existing
- Provide Copper Counter Flashing Lower Piece. </t>
    </r>
  </si>
  <si>
    <r>
      <rPr>
        <b/>
        <sz val="14"/>
        <rFont val="Times New Roman"/>
        <family val="1"/>
      </rPr>
      <t>Joint Sealnt Replacement (17 Location)</t>
    </r>
    <r>
      <rPr>
        <sz val="14"/>
        <rFont val="Times New Roman"/>
        <family val="1"/>
      </rPr>
      <t xml:space="preserve">
- Backer rod
- Sealant: NT (NS)</t>
    </r>
  </si>
  <si>
    <r>
      <rPr>
        <b/>
        <sz val="12"/>
        <rFont val="Times New Roman"/>
        <family val="1"/>
      </rPr>
      <t>Bulkhead Netting (6 Location)</t>
    </r>
    <r>
      <rPr>
        <sz val="12"/>
        <rFont val="Times New Roman"/>
        <family val="1"/>
      </rPr>
      <t xml:space="preserve">
- Sealant Shall be Applied. Tool Sealant to Eliminate Air Pockets and to Orovide Contact of Sealant to All Sides of Joint</t>
    </r>
  </si>
  <si>
    <r>
      <rPr>
        <b/>
        <sz val="12"/>
        <rFont val="Times New Roman"/>
        <family val="1"/>
      </rPr>
      <t>Steel Coating: Lintel (1 Location)</t>
    </r>
    <r>
      <rPr>
        <sz val="12"/>
        <rFont val="Times New Roman"/>
        <family val="1"/>
      </rPr>
      <t xml:space="preserve">
- Existing Façade Stone and Masonary Around Steel to Remain to be Protected. Use Masking Tape &amp; Poly Sheet Protection as Needed when Coating Steel Angle
- Prepare Exposed Steel Surfaces of Existing Lintel and Coat with Steel Coating Type: 3ER
- Existing Metal Door Frame to Remain Protected during Construction as Needed
- Brick Masonary to Remain Protected</t>
    </r>
  </si>
  <si>
    <r>
      <t xml:space="preserve">Stone Replacement (3 Location)
- </t>
    </r>
    <r>
      <rPr>
        <sz val="12"/>
        <color theme="1"/>
        <rFont val="Times New Roman"/>
        <family val="1"/>
      </rPr>
      <t>Shore as Required</t>
    </r>
    <r>
      <rPr>
        <sz val="12"/>
        <color rgb="FFFF0000"/>
        <rFont val="Times New Roman"/>
        <family val="1"/>
      </rPr>
      <t xml:space="preserve">
</t>
    </r>
    <r>
      <rPr>
        <sz val="12"/>
        <rFont val="Times New Roman"/>
        <family val="1"/>
      </rPr>
      <t>- Plastic Bearing Shim
- Dowels (Stainless Steel) 3/8" Dia.
- Bent Stainless Steel Plate 1/4" Thick to Support Panel
- Steel Shims as Required
- Expansion Anchors (Stainless Steel)
- Concealed Stone Anchors
- Weep Slots
- Masonary Stone Panel</t>
    </r>
  </si>
  <si>
    <t>https://www.homedepot.com/p/1-2-in-x-20-ft-4-Rebar-REB-4-615G4-20/202532809</t>
  </si>
  <si>
    <t>Consolidated brick</t>
  </si>
  <si>
    <t>8' long</t>
  </si>
  <si>
    <t>https://www.homedepot.com/p/2-in-x-4-in-x-8-ft-Prime-Whitewood-Stud-058449/312528776</t>
  </si>
  <si>
    <t>8 LF</t>
  </si>
  <si>
    <t>Quote requested</t>
  </si>
  <si>
    <t>Bent Stainless Steel Plate 1/4" x 12" x 24"</t>
  </si>
  <si>
    <t>Previous data</t>
  </si>
  <si>
    <t>https://www.fastenere.com/14-x-4-wedge-anchors-zinc-plated-steel-qty-100?device=c&amp;network=x&amp;keyword=&amp;creative=&amp;placement=&amp;gclid=CjwKCAjwmJeYBhAwEiwAXlg0ASCABa1LpHzJTF-_-ne9GwMo5XdVuGtqiUyBp76H9VINodSIIslgBhoC60oQAvD_BwE</t>
  </si>
  <si>
    <t>NCBP Quote for lehman entry</t>
  </si>
  <si>
    <t>https://www.rivetsonline.com/copper-blind-rivet-wbrass-mandrel/pr42cbp</t>
  </si>
  <si>
    <t>60 yd tape</t>
  </si>
  <si>
    <t>60 YD</t>
  </si>
  <si>
    <t>https://www.homedepot.com/p/3M-Scotch-0-94-in-x-60-1-yds-Contractor-Grade-Masking-Tape-2020-24AP/100207133?source=shoppingads&amp;locale=en-US&amp;&amp;mtc=SHOPPING-RM-RMP-GGL-D24-024_005_TAPE-NA-3M-NA-SMART-NA-NA-MK111111111-NA-NBR-669-CON-NA-FY22_669&amp;cm_mmc=SHOPPING-RM-RMP-GGL-D24-024_005_TAPE-NA-3M-NA-SMART-NA-NA-MK111111111-NA-NBR-669-CON-NA-FY22_669-71700000094531503-58700007815866556-92700071034571642&amp;gclid=CjwKCAjwmJeYBhAwEiwAXlg0AUfBmXfDHuEyW8mrJl6ZzJQw5YsrCLB5hR4kxuY9TbZMS9E5j3P_khoC2DEQAvD_BwE&amp;gclsrc=aw.ds</t>
  </si>
  <si>
    <t>12'x100' Roll</t>
  </si>
  <si>
    <t>100 LF</t>
  </si>
  <si>
    <t>https://www.lowes.com/pd/Contractor-s-Choice-12-ft-x-400-ft-0-31-mil-Plastic-Sheeting/5002082991</t>
  </si>
  <si>
    <t>SUBCONTRACTOR'S COMPARISON</t>
  </si>
  <si>
    <t>SIDEWALK SHED</t>
  </si>
  <si>
    <t>Sr. No.</t>
  </si>
  <si>
    <t>COMPANY NAME</t>
  </si>
  <si>
    <t>QTY QUOTED
(Lf)</t>
  </si>
  <si>
    <t>PRICE QUOTED</t>
  </si>
  <si>
    <t>QTY REQUIRED
(Lf)</t>
  </si>
  <si>
    <t>REMARKS</t>
  </si>
  <si>
    <t>Initial permits, trucking (both ways) &amp; drawings</t>
  </si>
  <si>
    <t>Grand Total</t>
  </si>
  <si>
    <t>City</t>
  </si>
  <si>
    <t>SCAFFOLDING</t>
  </si>
  <si>
    <t>QTY QUOTED</t>
  </si>
  <si>
    <t>QTY REQUIRED</t>
  </si>
  <si>
    <t>City Scaffolding</t>
  </si>
  <si>
    <t>SFT</t>
  </si>
  <si>
    <t>DROPS</t>
  </si>
  <si>
    <t>TOTAL WITH RIGGER</t>
  </si>
  <si>
    <t>QTY QUOTED
(EA)</t>
  </si>
  <si>
    <t>GRAND TOTAL</t>
  </si>
  <si>
    <t>MATERIAL'S COMPARISON</t>
  </si>
  <si>
    <t xml:space="preserve">Unit price </t>
  </si>
  <si>
    <t>METAL FLASHING</t>
  </si>
  <si>
    <t>Engineered drawings, initial permits, and freight both ways.</t>
  </si>
  <si>
    <t>UNIT PRICE PER MONTH</t>
  </si>
  <si>
    <t>MONTHS REQUIRED</t>
  </si>
  <si>
    <t>CROSSOVER RAMP</t>
  </si>
  <si>
    <t>Eberl Iron</t>
  </si>
  <si>
    <r>
      <rPr>
        <b/>
        <sz val="11"/>
        <color theme="1"/>
        <rFont val="Times New Roman"/>
        <family val="1"/>
      </rPr>
      <t>Includes:</t>
    </r>
    <r>
      <rPr>
        <sz val="11"/>
        <color theme="1"/>
        <rFont val="Times New Roman"/>
        <family val="1"/>
      </rPr>
      <t xml:space="preserve">
1-Material
2-Delivery
</t>
    </r>
    <r>
      <rPr>
        <b/>
        <sz val="11"/>
        <color theme="1"/>
        <rFont val="Times New Roman"/>
        <family val="1"/>
      </rPr>
      <t>Excludes:</t>
    </r>
    <r>
      <rPr>
        <sz val="11"/>
        <color theme="1"/>
        <rFont val="Times New Roman"/>
        <family val="1"/>
      </rPr>
      <t xml:space="preserve">
1-Installation
2-Field Survey</t>
    </r>
  </si>
  <si>
    <t>3'x3'x17.5" w/ (1) Stair assembly - 1EA
3'x3'x25.5" w/ (2) Stair assembly - 1EA</t>
  </si>
  <si>
    <t>NCBP (26 GA)</t>
  </si>
  <si>
    <t>Based on 26 GA due to no thickness given</t>
  </si>
  <si>
    <t>COPING FLASHING</t>
  </si>
  <si>
    <t>2PC EAVE FLAHSING</t>
  </si>
  <si>
    <t>REGLET CAP FLASHING</t>
  </si>
  <si>
    <t>2PC CAP FLASHING RECEIVER</t>
  </si>
  <si>
    <t>INSERT</t>
  </si>
  <si>
    <t>COUNTER FLASHING</t>
  </si>
  <si>
    <t>Key stone (26 GA)</t>
  </si>
  <si>
    <t>Steel Flashing</t>
  </si>
  <si>
    <t>Drip edge</t>
  </si>
  <si>
    <t>Counter Flashing</t>
  </si>
  <si>
    <t>Two piece Counter Flashing</t>
  </si>
  <si>
    <t>MASONRY MATERIALS</t>
  </si>
  <si>
    <t>BRICK MASONRY</t>
  </si>
  <si>
    <t>CONCRETE AND MASONRY RPAIRS</t>
  </si>
  <si>
    <t>CRACK RESTORATION</t>
  </si>
  <si>
    <t>STONE PANEL</t>
  </si>
  <si>
    <t>Pipe Scaffold - (including 2 full decking, 2 outriggers and 2 stair towers)</t>
  </si>
  <si>
    <t>BASE PRICE
(Includes 4 month rental)</t>
  </si>
  <si>
    <t>Hanging Scaffold - (30’LF)</t>
  </si>
  <si>
    <t>Pipe Scafffolding (4 Months)</t>
  </si>
  <si>
    <t>Maerial Hoist - 160' High</t>
  </si>
  <si>
    <t>HOIST - (7 Months)</t>
  </si>
  <si>
    <t>BASE PRICE
(Includes 7 month rentals)</t>
  </si>
  <si>
    <t>Sidewalk shed 
-25 LF for 2 Months
-185 LF for 4 Months</t>
  </si>
  <si>
    <t>8' L</t>
  </si>
  <si>
    <t>https://estore.masonpro.com/lstoneanchor1-14x18x4w2bendwhole-packaged100caseunitprice198.aspx</t>
  </si>
  <si>
    <t>Assmed</t>
  </si>
  <si>
    <t>https://www.paragonproducts-ia.com/2-x-2-x-12-shim-p-4076.html</t>
  </si>
  <si>
    <t>RENT AFTER BASE PRICE</t>
  </si>
  <si>
    <t>1 ft</t>
  </si>
  <si>
    <t>Water Filled Barricates if manlift is used - same to be used everywhere - 5 ft piece</t>
  </si>
  <si>
    <t>BASE PRICE
(Includes 4 month rentals)</t>
  </si>
  <si>
    <t>Man Lift for East Elevation if scaffolding is not used at East elevation - 160 ft (4 months)</t>
  </si>
  <si>
    <t>Scaffold Stand for Bulkhead works (30'-0" H)</t>
  </si>
  <si>
    <t>Hanging scaffolding (2 Months) - 4 Hanging scaffoldings</t>
  </si>
  <si>
    <t>Sft</t>
  </si>
  <si>
    <t>Scaffolding at 3 sides for Bulkhead (30 ft height)</t>
  </si>
  <si>
    <t>Licensed Rigger ($450 per shift)</t>
  </si>
  <si>
    <t>STAIR TOWER - (7 Months)</t>
  </si>
  <si>
    <t>Stair tower for labor - 160 ft</t>
  </si>
  <si>
    <t>Stair tower for Manpower mobility - 160 ft (7 months)</t>
  </si>
  <si>
    <t>Hanging Scaffolding for Bulkhead West Elevation - 4 Drops (2 months)</t>
  </si>
  <si>
    <r>
      <rPr>
        <b/>
        <sz val="12"/>
        <rFont val="Times New Roman"/>
        <family val="1"/>
      </rPr>
      <t>Stone Replacement (3 Location)</t>
    </r>
    <r>
      <rPr>
        <sz val="12"/>
        <rFont val="Times New Roman"/>
        <family val="1"/>
      </rPr>
      <t xml:space="preserve">
</t>
    </r>
    <r>
      <rPr>
        <sz val="12"/>
        <color theme="1"/>
        <rFont val="Times New Roman"/>
        <family val="1"/>
      </rPr>
      <t>- Shore as Required</t>
    </r>
    <r>
      <rPr>
        <sz val="12"/>
        <color rgb="FFFF0000"/>
        <rFont val="Times New Roman"/>
        <family val="1"/>
      </rPr>
      <t xml:space="preserve">
</t>
    </r>
    <r>
      <rPr>
        <sz val="12"/>
        <rFont val="Times New Roman"/>
        <family val="1"/>
      </rPr>
      <t>- Plastic Bearing Shim
- Dowels (Stainless Steel) 3/8" Dia.
- Bent Stainless Steel Plate 1/4" Thick to Support Panel
- Steel Shims as Required
- Expansion Anchors (Stainless Steel)
- Concealed Stone Anchors
- Weep Slots
- Masonary Stone Panel</t>
    </r>
  </si>
  <si>
    <t>1' L</t>
  </si>
  <si>
    <t>39 Bricks per bag</t>
  </si>
  <si>
    <t>80 Lb Bag</t>
  </si>
  <si>
    <t>Electrical Air Blower</t>
  </si>
  <si>
    <t>Price As Per Arham</t>
  </si>
  <si>
    <t>https://www.metals4uonline.com/steel-angle-4x4x1_4th</t>
  </si>
  <si>
    <t>Bent Stainless Steel Plate angle type 1/4" x 3" x 3"</t>
  </si>
  <si>
    <t>3' Piece</t>
  </si>
  <si>
    <t>BASE PRICE
(Includes 2 month rental)</t>
  </si>
  <si>
    <t>HANGING SCAFFOLDING</t>
  </si>
  <si>
    <t>Suspended Hoist (6 months)</t>
  </si>
  <si>
    <t>GTM Contracting</t>
  </si>
  <si>
    <r>
      <rPr>
        <b/>
        <sz val="11"/>
        <color rgb="FFFF0000"/>
        <rFont val="Times New Roman"/>
        <family val="1"/>
      </rPr>
      <t>Quantity is 359 LF on drawings but 125 LF in specs. GTM gives proposal based on specs</t>
    </r>
    <r>
      <rPr>
        <sz val="11"/>
        <color theme="1"/>
        <rFont val="Times New Roman"/>
        <family val="1"/>
      </rPr>
      <t xml:space="preserve">
</t>
    </r>
    <r>
      <rPr>
        <b/>
        <sz val="11"/>
        <color theme="1"/>
        <rFont val="Times New Roman"/>
        <family val="1"/>
      </rPr>
      <t>Includes:</t>
    </r>
    <r>
      <rPr>
        <sz val="11"/>
        <color theme="1"/>
        <rFont val="Times New Roman"/>
        <family val="1"/>
      </rPr>
      <t xml:space="preserve">
1. DEP PERMIT &amp; DOL PERMIT
2. ACM REMOVAL &amp; LABOR
3. MATERIAL
4. ACM WASTE DISPOSAL
</t>
    </r>
    <r>
      <rPr>
        <b/>
        <sz val="11"/>
        <color theme="1"/>
        <rFont val="Times New Roman"/>
        <family val="1"/>
      </rPr>
      <t>Excludes</t>
    </r>
    <r>
      <rPr>
        <sz val="11"/>
        <color theme="1"/>
        <rFont val="Times New Roman"/>
        <family val="1"/>
      </rPr>
      <t xml:space="preserve">
1-Scaffolding,shed or hoist
2-Electric connection</t>
    </r>
  </si>
  <si>
    <t>Stair tower @East Elevation - Additional rent after scaffolding is removed (2 months)</t>
  </si>
  <si>
    <r>
      <t>Pipe Scaffold @ East Elevation</t>
    </r>
    <r>
      <rPr>
        <sz val="12"/>
        <color rgb="FFFF0000"/>
        <rFont val="Times New Roman"/>
        <family val="1"/>
      </rPr>
      <t xml:space="preserve"> </t>
    </r>
    <r>
      <rPr>
        <sz val="12"/>
        <color theme="1"/>
        <rFont val="Times New Roman"/>
        <family val="1"/>
      </rPr>
      <t>(4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</si>
</sst>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00_-;\-* #,##0.00_-;_-* &quot;-&quot;??_-;_-@_-"/>
    <numFmt numFmtId="165" formatCode="_-[$$-409]* #,##0.00_ ;_-[$$-409]* \-#,##0.00\ ;_-[$$-409]* &quot;-&quot;??_ ;_-@_ "/>
    <numFmt numFmtId="166" formatCode="_([$$-409]* #,##0.00_);_([$$-409]* \(#,##0.00\);_([$$-409]* &quot;-&quot;??_);_(@_)"/>
    <numFmt numFmtId="167" formatCode="0.0%"/>
    <numFmt numFmtId="168" formatCode="0.000"/>
    <numFmt numFmtId="169" formatCode="_-[$$-409]* #,##0_ ;_-[$$-409]* \-#,##0\ ;_-[$$-409]* &quot;-&quot;??_ ;_-@_ "/>
    <numFmt numFmtId="170" formatCode="_-[$$-409]* #,##0.0_ ;_-[$$-409]* \-#,##0.0\ ;_-[$$-409]* &quot;-&quot;??_ ;_-@_ "/>
    <numFmt numFmtId="171" formatCode="[$$-409]#,##0.00"/>
  </numFmts>
  <fonts count="3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8"/>
      <color theme="1"/>
      <name val="Calibri"/>
      <family val="2"/>
      <scheme val="minor"/>
    </font>
    <font>
      <b/>
      <sz val="12"/>
      <color theme="1"/>
      <name val="Calibri"/>
      <family val="2"/>
      <scheme val="minor"/>
    </font>
    <font>
      <sz val="12"/>
      <color rgb="FFFF0000"/>
      <name val="Times New Roman"/>
      <family val="1"/>
    </font>
    <font>
      <sz val="12"/>
      <color theme="1"/>
      <name val="Times New Roman"/>
      <family val="1"/>
    </font>
    <font>
      <b/>
      <sz val="12"/>
      <color theme="1"/>
      <name val="Times New Roman"/>
      <family val="1"/>
    </font>
    <font>
      <sz val="12"/>
      <name val="Times New Roman"/>
      <family val="1"/>
    </font>
    <font>
      <sz val="10"/>
      <name val="Times New Roman"/>
      <family val="1"/>
    </font>
    <font>
      <b/>
      <sz val="12"/>
      <name val="Times New Roman"/>
      <family val="1"/>
    </font>
    <font>
      <b/>
      <sz val="16"/>
      <color theme="1"/>
      <name val="Times New Roman"/>
      <family val="1"/>
    </font>
    <font>
      <b/>
      <sz val="18"/>
      <color theme="1"/>
      <name val="Times New Roman"/>
      <family val="1"/>
    </font>
    <font>
      <sz val="14"/>
      <name val="Times New Roman"/>
      <family val="1"/>
    </font>
    <font>
      <b/>
      <sz val="14"/>
      <color theme="1"/>
      <name val="Times New Roman"/>
      <family val="1"/>
    </font>
    <font>
      <b/>
      <sz val="14"/>
      <name val="Times New Roman"/>
      <family val="1"/>
    </font>
    <font>
      <sz val="11"/>
      <color theme="1"/>
      <name val="Calibri"/>
      <family val="2"/>
      <charset val="1"/>
      <scheme val="minor"/>
    </font>
    <font>
      <b/>
      <sz val="11"/>
      <name val="Calibri"/>
      <family val="2"/>
      <scheme val="minor"/>
    </font>
    <font>
      <sz val="12"/>
      <color theme="1"/>
      <name val="Calibri"/>
      <family val="2"/>
      <scheme val="minor"/>
    </font>
    <font>
      <sz val="11"/>
      <color theme="1"/>
      <name val="Times New Roman"/>
      <family val="1"/>
    </font>
    <font>
      <b/>
      <u/>
      <sz val="14"/>
      <color theme="1"/>
      <name val="Times New Roman"/>
      <family val="1"/>
    </font>
    <font>
      <b/>
      <sz val="11"/>
      <color theme="1"/>
      <name val="Times New Roman"/>
      <family val="1"/>
    </font>
    <font>
      <b/>
      <sz val="10"/>
      <color theme="1"/>
      <name val="Times New Roman"/>
      <family val="1"/>
    </font>
    <font>
      <sz val="10"/>
      <color theme="1"/>
      <name val="Times New Roman"/>
      <family val="1"/>
    </font>
    <font>
      <b/>
      <u/>
      <sz val="16"/>
      <color theme="1"/>
      <name val="Times New Roman"/>
      <family val="1"/>
    </font>
    <font>
      <sz val="11"/>
      <name val="Times New Roman"/>
      <family val="1"/>
    </font>
    <font>
      <b/>
      <sz val="11"/>
      <name val="Times New Roman"/>
      <family val="1"/>
    </font>
    <font>
      <sz val="11"/>
      <color rgb="FFFF0000"/>
      <name val="Times New Roman"/>
      <family val="1"/>
    </font>
    <font>
      <b/>
      <sz val="10"/>
      <color rgb="FFFF0000"/>
      <name val="Times New Roman"/>
      <family val="1"/>
    </font>
    <font>
      <b/>
      <sz val="11"/>
      <color rgb="FFFF0000"/>
      <name val="Times New Roman"/>
      <family val="1"/>
    </font>
  </fonts>
  <fills count="19">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A8D08D"/>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s>
  <borders count="10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CCCCCC"/>
      </left>
      <right style="medium">
        <color rgb="FFD8D8D8"/>
      </right>
      <top style="medium">
        <color rgb="FFCCCCCC"/>
      </top>
      <bottom/>
      <diagonal/>
    </border>
    <border>
      <left style="medium">
        <color rgb="FFD8D8D8"/>
      </left>
      <right/>
      <top/>
      <bottom/>
      <diagonal/>
    </border>
    <border>
      <left style="medium">
        <color rgb="FFD8D8D8"/>
      </left>
      <right/>
      <top/>
      <bottom style="medium">
        <color rgb="FFCCCCCC"/>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rgb="FFD8D8D8"/>
      </left>
      <right/>
      <top style="medium">
        <color rgb="FFD8D8D8"/>
      </top>
      <bottom/>
      <diagonal/>
    </border>
    <border>
      <left/>
      <right/>
      <top style="medium">
        <color rgb="FFD8D8D8"/>
      </top>
      <bottom/>
      <diagonal/>
    </border>
    <border>
      <left/>
      <right style="medium">
        <color rgb="FFCCCCCC"/>
      </right>
      <top style="medium">
        <color rgb="FFD8D8D8"/>
      </top>
      <bottom/>
      <diagonal/>
    </border>
    <border>
      <left style="medium">
        <color rgb="FFCCCCCC"/>
      </left>
      <right/>
      <top style="medium">
        <color rgb="FFD8D8D8"/>
      </top>
      <bottom/>
      <diagonal/>
    </border>
    <border>
      <left/>
      <right style="medium">
        <color rgb="FFCCCCCC"/>
      </right>
      <top/>
      <bottom/>
      <diagonal/>
    </border>
    <border>
      <left style="medium">
        <color rgb="FFCCCCCC"/>
      </left>
      <right/>
      <top/>
      <bottom/>
      <diagonal/>
    </border>
    <border>
      <left/>
      <right/>
      <top/>
      <bottom style="medium">
        <color rgb="FFCCCCCC"/>
      </bottom>
      <diagonal/>
    </border>
    <border>
      <left/>
      <right style="medium">
        <color rgb="FFCCCCCC"/>
      </right>
      <top/>
      <bottom style="medium">
        <color rgb="FFCCCCCC"/>
      </bottom>
      <diagonal/>
    </border>
    <border>
      <left style="medium">
        <color rgb="FFCCCCCC"/>
      </left>
      <right/>
      <top/>
      <bottom style="medium">
        <color rgb="FFCCCCCC"/>
      </bottom>
      <diagonal/>
    </border>
    <border>
      <left style="medium">
        <color rgb="FFD8D8D8"/>
      </left>
      <right style="medium">
        <color rgb="FFD8D8D8"/>
      </right>
      <top style="medium">
        <color rgb="FFCCCCCC"/>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right style="medium">
        <color theme="0" tint="-0.249977111117893"/>
      </right>
      <top/>
      <bottom style="medium">
        <color theme="0" tint="-0.249977111117893"/>
      </bottom>
      <diagonal/>
    </border>
    <border>
      <left style="medium">
        <color theme="0" tint="-0.249977111117893"/>
      </left>
      <right/>
      <top/>
      <bottom style="medium">
        <color theme="0" tint="-0.249977111117893"/>
      </bottom>
      <diagonal/>
    </border>
    <border>
      <left/>
      <right style="medium">
        <color theme="0" tint="-0.249977111117893"/>
      </right>
      <top/>
      <bottom/>
      <diagonal/>
    </border>
    <border>
      <left style="medium">
        <color theme="0" tint="-0.249977111117893"/>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indexed="64"/>
      </left>
      <right style="medium">
        <color theme="0" tint="-0.249977111117893"/>
      </right>
      <top style="medium">
        <color indexed="64"/>
      </top>
      <bottom/>
      <diagonal/>
    </border>
    <border>
      <left style="medium">
        <color theme="0" tint="-0.249977111117893"/>
      </left>
      <right style="medium">
        <color theme="0" tint="-0.249977111117893"/>
      </right>
      <top style="medium">
        <color indexed="64"/>
      </top>
      <bottom style="medium">
        <color theme="0" tint="-0.249977111117893"/>
      </bottom>
      <diagonal/>
    </border>
    <border>
      <left style="medium">
        <color theme="0" tint="-0.249977111117893"/>
      </left>
      <right/>
      <top style="medium">
        <color indexed="64"/>
      </top>
      <bottom style="medium">
        <color theme="0" tint="-0.249977111117893"/>
      </bottom>
      <diagonal/>
    </border>
    <border>
      <left/>
      <right style="medium">
        <color theme="0" tint="-0.249977111117893"/>
      </right>
      <top style="medium">
        <color indexed="64"/>
      </top>
      <bottom style="medium">
        <color theme="0" tint="-0.249977111117893"/>
      </bottom>
      <diagonal/>
    </border>
    <border>
      <left style="medium">
        <color theme="0" tint="-0.249977111117893"/>
      </left>
      <right style="medium">
        <color indexed="64"/>
      </right>
      <top style="medium">
        <color indexed="64"/>
      </top>
      <bottom style="medium">
        <color theme="0" tint="-0.249977111117893"/>
      </bottom>
      <diagonal/>
    </border>
    <border>
      <left style="medium">
        <color indexed="64"/>
      </left>
      <right style="medium">
        <color theme="0" tint="-0.249977111117893"/>
      </right>
      <top/>
      <bottom style="medium">
        <color indexed="64"/>
      </bottom>
      <diagonal/>
    </border>
    <border>
      <left style="medium">
        <color theme="0" tint="-0.249977111117893"/>
      </left>
      <right style="medium">
        <color theme="0" tint="-0.249977111117893"/>
      </right>
      <top style="medium">
        <color theme="0" tint="-0.249977111117893"/>
      </top>
      <bottom style="medium">
        <color indexed="64"/>
      </bottom>
      <diagonal/>
    </border>
    <border>
      <left style="medium">
        <color theme="0" tint="-0.249977111117893"/>
      </left>
      <right/>
      <top style="medium">
        <color theme="0" tint="-0.249977111117893"/>
      </top>
      <bottom style="medium">
        <color indexed="64"/>
      </bottom>
      <diagonal/>
    </border>
    <border>
      <left/>
      <right style="medium">
        <color theme="0" tint="-0.249977111117893"/>
      </right>
      <top style="medium">
        <color theme="0" tint="-0.249977111117893"/>
      </top>
      <bottom style="medium">
        <color indexed="64"/>
      </bottom>
      <diagonal/>
    </border>
    <border>
      <left style="medium">
        <color theme="0" tint="-0.249977111117893"/>
      </left>
      <right style="medium">
        <color indexed="64"/>
      </right>
      <top style="medium">
        <color theme="0" tint="-0.249977111117893"/>
      </top>
      <bottom style="medium">
        <color indexed="64"/>
      </bottom>
      <diagonal/>
    </border>
    <border>
      <left style="medium">
        <color theme="0" tint="-0.249977111117893"/>
      </left>
      <right style="medium">
        <color theme="0" tint="-0.249977111117893"/>
      </right>
      <top/>
      <bottom style="medium">
        <color theme="0" tint="-0.249977111117893"/>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s>
  <cellStyleXfs count="10">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8" fillId="0" borderId="0"/>
    <xf numFmtId="164" fontId="1" fillId="0" borderId="0" applyFont="0" applyFill="0" applyBorder="0" applyAlignment="0" applyProtection="0"/>
  </cellStyleXfs>
  <cellXfs count="585">
    <xf numFmtId="0" fontId="0" fillId="0" borderId="0" xfId="0"/>
    <xf numFmtId="0" fontId="2" fillId="8" borderId="16" xfId="0" applyFont="1" applyFill="1" applyBorder="1" applyAlignment="1">
      <alignment horizontal="center" vertical="center"/>
    </xf>
    <xf numFmtId="0" fontId="2" fillId="8" borderId="17" xfId="0" applyFont="1" applyFill="1" applyBorder="1" applyAlignment="1">
      <alignment horizontal="center" vertical="center"/>
    </xf>
    <xf numFmtId="0" fontId="2" fillId="8" borderId="17"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xf>
    <xf numFmtId="0" fontId="0" fillId="0" borderId="22" xfId="0" applyBorder="1"/>
    <xf numFmtId="166" fontId="0" fillId="0" borderId="21" xfId="0" applyNumberFormat="1" applyBorder="1"/>
    <xf numFmtId="166" fontId="0" fillId="0" borderId="23" xfId="0" applyNumberFormat="1" applyBorder="1"/>
    <xf numFmtId="9" fontId="0" fillId="0" borderId="25" xfId="3" applyFont="1" applyBorder="1" applyAlignment="1">
      <alignment horizontal="center"/>
    </xf>
    <xf numFmtId="166" fontId="0" fillId="0" borderId="26" xfId="0" applyNumberFormat="1" applyBorder="1" applyAlignment="1">
      <alignment vertical="center"/>
    </xf>
    <xf numFmtId="0" fontId="0" fillId="0" borderId="27" xfId="0" applyBorder="1" applyAlignment="1">
      <alignment horizontal="center" vertical="center"/>
    </xf>
    <xf numFmtId="0" fontId="0" fillId="0" borderId="28" xfId="0" applyBorder="1" applyAlignment="1">
      <alignment horizontal="center"/>
    </xf>
    <xf numFmtId="0" fontId="0" fillId="0" borderId="9" xfId="0" applyBorder="1"/>
    <xf numFmtId="166" fontId="0" fillId="0" borderId="28" xfId="0" applyNumberFormat="1" applyBorder="1"/>
    <xf numFmtId="166" fontId="0" fillId="0" borderId="29" xfId="0" applyNumberFormat="1" applyBorder="1"/>
    <xf numFmtId="9" fontId="0" fillId="0" borderId="26" xfId="3" applyFont="1" applyBorder="1" applyAlignment="1">
      <alignment horizontal="center"/>
    </xf>
    <xf numFmtId="0" fontId="0" fillId="0" borderId="31" xfId="0" applyBorder="1" applyAlignment="1">
      <alignment horizontal="center" vertical="center"/>
    </xf>
    <xf numFmtId="0" fontId="0" fillId="0" borderId="9" xfId="0" applyBorder="1" applyAlignment="1">
      <alignment horizontal="center"/>
    </xf>
    <xf numFmtId="166" fontId="0" fillId="0" borderId="9" xfId="0" applyNumberFormat="1" applyBorder="1"/>
    <xf numFmtId="166" fontId="0" fillId="0" borderId="32" xfId="0" applyNumberFormat="1" applyBorder="1"/>
    <xf numFmtId="0" fontId="0" fillId="0" borderId="33" xfId="0" applyBorder="1" applyAlignment="1">
      <alignment horizontal="center" vertical="center"/>
    </xf>
    <xf numFmtId="0" fontId="0" fillId="0" borderId="34" xfId="0" applyBorder="1" applyAlignment="1">
      <alignment horizontal="center"/>
    </xf>
    <xf numFmtId="0" fontId="0" fillId="0" borderId="34" xfId="0" applyBorder="1"/>
    <xf numFmtId="166" fontId="0" fillId="0" borderId="34" xfId="0" applyNumberFormat="1" applyBorder="1"/>
    <xf numFmtId="9" fontId="0" fillId="0" borderId="35" xfId="3" applyFont="1" applyBorder="1" applyAlignment="1">
      <alignment horizontal="center"/>
    </xf>
    <xf numFmtId="166" fontId="0" fillId="0" borderId="35" xfId="0" applyNumberFormat="1" applyBorder="1" applyAlignment="1">
      <alignment vertical="center"/>
    </xf>
    <xf numFmtId="166" fontId="0" fillId="8" borderId="15" xfId="0" applyNumberFormat="1" applyFill="1" applyBorder="1" applyAlignment="1">
      <alignment vertical="center"/>
    </xf>
    <xf numFmtId="166" fontId="2" fillId="8" borderId="4" xfId="0" applyNumberFormat="1" applyFont="1" applyFill="1" applyBorder="1" applyAlignment="1">
      <alignment horizontal="center" vertical="center"/>
    </xf>
    <xf numFmtId="166" fontId="2" fillId="8" borderId="12" xfId="0" applyNumberFormat="1" applyFont="1" applyFill="1" applyBorder="1" applyAlignment="1">
      <alignment vertical="center"/>
    </xf>
    <xf numFmtId="0" fontId="6" fillId="8" borderId="15" xfId="0" applyFont="1" applyFill="1" applyBorder="1" applyAlignment="1">
      <alignment vertical="center"/>
    </xf>
    <xf numFmtId="166" fontId="6" fillId="8" borderId="4" xfId="0" applyNumberFormat="1" applyFont="1" applyFill="1" applyBorder="1" applyAlignment="1">
      <alignment vertical="center"/>
    </xf>
    <xf numFmtId="0" fontId="0" fillId="0" borderId="0" xfId="0" applyAlignment="1">
      <alignment horizontal="center" vertical="center"/>
    </xf>
    <xf numFmtId="0" fontId="0" fillId="0" borderId="0" xfId="0" applyAlignment="1">
      <alignment horizontal="center"/>
    </xf>
    <xf numFmtId="0" fontId="10" fillId="0" borderId="0" xfId="4" applyFont="1" applyAlignment="1">
      <alignment horizontal="left" vertical="center"/>
    </xf>
    <xf numFmtId="0" fontId="10" fillId="0" borderId="0" xfId="4" applyFont="1" applyAlignment="1">
      <alignment horizontal="center" vertical="center"/>
    </xf>
    <xf numFmtId="0" fontId="8" fillId="0" borderId="0" xfId="4" applyFont="1" applyAlignment="1">
      <alignment horizontal="center" vertical="center"/>
    </xf>
    <xf numFmtId="166" fontId="10" fillId="0" borderId="0" xfId="4" applyNumberFormat="1" applyFont="1" applyAlignment="1">
      <alignment horizontal="center" vertical="center"/>
    </xf>
    <xf numFmtId="165" fontId="9" fillId="0" borderId="0" xfId="4" applyNumberFormat="1" applyFont="1" applyAlignment="1">
      <alignment horizontal="center" vertical="center" wrapText="1"/>
    </xf>
    <xf numFmtId="165" fontId="10" fillId="0" borderId="0" xfId="4" applyNumberFormat="1" applyFont="1" applyAlignment="1">
      <alignment horizontal="center" vertical="center"/>
    </xf>
    <xf numFmtId="0" fontId="9" fillId="0" borderId="48" xfId="4" applyFont="1" applyBorder="1" applyAlignment="1">
      <alignment horizontal="center" vertical="center" wrapText="1"/>
    </xf>
    <xf numFmtId="0" fontId="9" fillId="0" borderId="5" xfId="4" applyFont="1" applyBorder="1" applyAlignment="1">
      <alignment horizontal="center" vertical="center" wrapText="1"/>
    </xf>
    <xf numFmtId="0" fontId="9" fillId="0" borderId="5" xfId="4" applyFont="1" applyBorder="1" applyAlignment="1">
      <alignment horizontal="center" vertical="center"/>
    </xf>
    <xf numFmtId="0" fontId="10" fillId="0" borderId="0" xfId="5" applyNumberFormat="1" applyFont="1" applyFill="1" applyAlignment="1">
      <alignment horizontal="center" vertical="center"/>
    </xf>
    <xf numFmtId="44" fontId="10" fillId="0" borderId="0" xfId="5" applyFont="1" applyFill="1" applyAlignment="1">
      <alignment horizontal="center" vertical="center"/>
    </xf>
    <xf numFmtId="0" fontId="8" fillId="9" borderId="49" xfId="4" applyFont="1" applyFill="1" applyBorder="1" applyAlignment="1">
      <alignment horizontal="center" vertical="center" wrapText="1"/>
    </xf>
    <xf numFmtId="0" fontId="9" fillId="9" borderId="49" xfId="4" applyFont="1" applyFill="1" applyBorder="1" applyAlignment="1">
      <alignment horizontal="center" vertical="center" wrapText="1"/>
    </xf>
    <xf numFmtId="0" fontId="9" fillId="9" borderId="49" xfId="4" applyFont="1" applyFill="1" applyBorder="1" applyAlignment="1">
      <alignment horizontal="center" vertical="center"/>
    </xf>
    <xf numFmtId="0" fontId="8" fillId="9" borderId="0" xfId="4" applyFont="1" applyFill="1" applyAlignment="1">
      <alignment horizontal="center" vertical="center" wrapText="1"/>
    </xf>
    <xf numFmtId="0" fontId="10" fillId="0" borderId="0" xfId="4" applyFont="1" applyAlignment="1">
      <alignment horizontal="left" vertical="center" wrapText="1"/>
    </xf>
    <xf numFmtId="0" fontId="8" fillId="0" borderId="49" xfId="4" applyFont="1" applyBorder="1" applyAlignment="1">
      <alignment horizontal="center" vertical="center" wrapText="1"/>
    </xf>
    <xf numFmtId="0" fontId="9" fillId="10" borderId="49" xfId="4" applyFont="1" applyFill="1" applyBorder="1" applyAlignment="1">
      <alignment horizontal="left" vertical="center"/>
    </xf>
    <xf numFmtId="165" fontId="8" fillId="0" borderId="49" xfId="4" applyNumberFormat="1" applyFont="1" applyBorder="1" applyAlignment="1">
      <alignment horizontal="center" vertical="center" wrapText="1"/>
    </xf>
    <xf numFmtId="10" fontId="8" fillId="0" borderId="0" xfId="3" applyNumberFormat="1" applyFont="1" applyAlignment="1">
      <alignment horizontal="center" vertical="center" wrapText="1"/>
    </xf>
    <xf numFmtId="10" fontId="10" fillId="0" borderId="0" xfId="3" applyNumberFormat="1" applyFont="1" applyFill="1" applyBorder="1" applyAlignment="1">
      <alignment horizontal="left" vertical="center"/>
    </xf>
    <xf numFmtId="0" fontId="8" fillId="0" borderId="49" xfId="4" applyFont="1" applyBorder="1" applyAlignment="1">
      <alignment horizontal="left" vertical="center"/>
    </xf>
    <xf numFmtId="0" fontId="10" fillId="0" borderId="49" xfId="4" applyFont="1" applyBorder="1" applyAlignment="1">
      <alignment horizontal="left" vertical="center"/>
    </xf>
    <xf numFmtId="0" fontId="10" fillId="0" borderId="49" xfId="4" applyFont="1" applyBorder="1" applyAlignment="1">
      <alignment horizontal="center" vertical="center" wrapText="1"/>
    </xf>
    <xf numFmtId="165" fontId="10" fillId="0" borderId="49" xfId="4" applyNumberFormat="1" applyFont="1" applyBorder="1" applyAlignment="1">
      <alignment horizontal="center" vertical="center" wrapText="1"/>
    </xf>
    <xf numFmtId="0" fontId="11" fillId="0" borderId="0" xfId="4" applyFont="1" applyAlignment="1">
      <alignment horizontal="left" vertical="center"/>
    </xf>
    <xf numFmtId="0" fontId="7" fillId="0" borderId="49" xfId="4" applyFont="1" applyBorder="1" applyAlignment="1">
      <alignment horizontal="left" vertical="center"/>
    </xf>
    <xf numFmtId="0" fontId="9" fillId="11" borderId="49" xfId="4" applyFont="1" applyFill="1" applyBorder="1" applyAlignment="1">
      <alignment horizontal="center" vertical="center"/>
    </xf>
    <xf numFmtId="165" fontId="9" fillId="11" borderId="49" xfId="4" applyNumberFormat="1" applyFont="1" applyFill="1" applyBorder="1" applyAlignment="1">
      <alignment horizontal="center" vertical="center"/>
    </xf>
    <xf numFmtId="165" fontId="9" fillId="11" borderId="49" xfId="4" applyNumberFormat="1" applyFont="1" applyFill="1" applyBorder="1" applyAlignment="1">
      <alignment horizontal="center" vertical="center" wrapText="1"/>
    </xf>
    <xf numFmtId="44" fontId="10" fillId="0" borderId="0" xfId="6" applyFont="1" applyFill="1" applyBorder="1" applyAlignment="1">
      <alignment horizontal="left" vertical="center"/>
    </xf>
    <xf numFmtId="0" fontId="12" fillId="10" borderId="49" xfId="4" applyFont="1" applyFill="1" applyBorder="1" applyAlignment="1">
      <alignment horizontal="left" vertical="center"/>
    </xf>
    <xf numFmtId="0" fontId="9" fillId="0" borderId="49" xfId="4" applyFont="1" applyBorder="1" applyAlignment="1">
      <alignment horizontal="left" vertical="center"/>
    </xf>
    <xf numFmtId="0" fontId="9" fillId="9" borderId="50" xfId="4" applyFont="1" applyFill="1" applyBorder="1" applyAlignment="1">
      <alignment horizontal="center" vertical="center"/>
    </xf>
    <xf numFmtId="0" fontId="13" fillId="9" borderId="50" xfId="4" applyFont="1" applyFill="1" applyBorder="1" applyAlignment="1">
      <alignment horizontal="center" vertical="center"/>
    </xf>
    <xf numFmtId="165" fontId="9" fillId="9" borderId="50" xfId="4" applyNumberFormat="1" applyFont="1" applyFill="1" applyBorder="1" applyAlignment="1">
      <alignment horizontal="center" vertical="center"/>
    </xf>
    <xf numFmtId="165" fontId="9" fillId="9" borderId="51" xfId="4" applyNumberFormat="1" applyFont="1" applyFill="1" applyBorder="1" applyAlignment="1">
      <alignment horizontal="center" vertical="center"/>
    </xf>
    <xf numFmtId="167" fontId="10" fillId="0" borderId="0" xfId="3" applyNumberFormat="1" applyFont="1" applyFill="1" applyBorder="1" applyAlignment="1">
      <alignment horizontal="left" vertical="center"/>
    </xf>
    <xf numFmtId="0" fontId="10" fillId="0" borderId="49" xfId="4" applyFont="1" applyBorder="1" applyAlignment="1">
      <alignment horizontal="left" vertical="center" wrapText="1"/>
    </xf>
    <xf numFmtId="0" fontId="10" fillId="0" borderId="9" xfId="4" applyFont="1" applyBorder="1" applyAlignment="1">
      <alignment horizontal="center" vertical="center"/>
    </xf>
    <xf numFmtId="0" fontId="10" fillId="0" borderId="9" xfId="5" applyNumberFormat="1" applyFont="1" applyFill="1" applyBorder="1" applyAlignment="1">
      <alignment horizontal="center" vertical="center"/>
    </xf>
    <xf numFmtId="44" fontId="10" fillId="0" borderId="9" xfId="5" applyFont="1" applyFill="1" applyBorder="1" applyAlignment="1">
      <alignment horizontal="center" vertical="center"/>
    </xf>
    <xf numFmtId="1" fontId="8" fillId="0" borderId="49" xfId="4" applyNumberFormat="1" applyFont="1" applyBorder="1" applyAlignment="1">
      <alignment horizontal="center" vertical="center" wrapText="1"/>
    </xf>
    <xf numFmtId="0" fontId="8" fillId="0" borderId="49" xfId="4" applyFont="1" applyBorder="1" applyAlignment="1">
      <alignment horizontal="left" vertical="center" wrapText="1"/>
    </xf>
    <xf numFmtId="165" fontId="10" fillId="0" borderId="49" xfId="4" applyNumberFormat="1" applyFont="1" applyBorder="1" applyAlignment="1">
      <alignment horizontal="center" vertical="center"/>
    </xf>
    <xf numFmtId="1" fontId="10" fillId="0" borderId="49" xfId="4" applyNumberFormat="1" applyFont="1" applyBorder="1" applyAlignment="1">
      <alignment horizontal="center" vertical="center" wrapText="1"/>
    </xf>
    <xf numFmtId="166" fontId="8" fillId="0" borderId="0" xfId="4" applyNumberFormat="1" applyFont="1" applyAlignment="1">
      <alignment horizontal="center" vertical="center" wrapText="1"/>
    </xf>
    <xf numFmtId="9" fontId="10" fillId="0" borderId="0" xfId="3" applyFont="1" applyFill="1" applyBorder="1" applyAlignment="1">
      <alignment horizontal="left" vertical="center"/>
    </xf>
    <xf numFmtId="0" fontId="14" fillId="9" borderId="49" xfId="4" applyFont="1" applyFill="1" applyBorder="1" applyAlignment="1">
      <alignment horizontal="center" vertical="center"/>
    </xf>
    <xf numFmtId="165" fontId="14" fillId="9" borderId="49" xfId="4" applyNumberFormat="1" applyFont="1" applyFill="1" applyBorder="1" applyAlignment="1">
      <alignment horizontal="center" vertical="center"/>
    </xf>
    <xf numFmtId="10" fontId="8" fillId="0" borderId="0" xfId="4" applyNumberFormat="1" applyFont="1" applyAlignment="1">
      <alignment horizontal="center" vertical="center" wrapText="1"/>
    </xf>
    <xf numFmtId="165" fontId="8" fillId="0" borderId="49" xfId="4" applyNumberFormat="1" applyFont="1" applyBorder="1" applyAlignment="1">
      <alignment horizontal="center" vertical="center"/>
    </xf>
    <xf numFmtId="0" fontId="15" fillId="0" borderId="49" xfId="4" applyFont="1" applyBorder="1" applyAlignment="1">
      <alignment horizontal="left" vertical="center" wrapText="1"/>
    </xf>
    <xf numFmtId="0" fontId="10" fillId="0" borderId="52" xfId="4" applyFont="1" applyBorder="1" applyAlignment="1">
      <alignment horizontal="center" vertical="center" wrapText="1"/>
    </xf>
    <xf numFmtId="0" fontId="10" fillId="0" borderId="51" xfId="4" applyFont="1" applyBorder="1" applyAlignment="1">
      <alignment horizontal="center" vertical="center"/>
    </xf>
    <xf numFmtId="2" fontId="10" fillId="0" borderId="51" xfId="4" applyNumberFormat="1" applyFont="1" applyBorder="1" applyAlignment="1">
      <alignment horizontal="center" vertical="center"/>
    </xf>
    <xf numFmtId="168" fontId="8" fillId="0" borderId="49" xfId="4" applyNumberFormat="1" applyFont="1" applyBorder="1" applyAlignment="1">
      <alignment horizontal="center" vertical="center" wrapText="1"/>
    </xf>
    <xf numFmtId="0" fontId="10" fillId="6" borderId="49" xfId="4" applyFont="1" applyFill="1" applyBorder="1" applyAlignment="1">
      <alignment horizontal="left" vertical="center" wrapText="1"/>
    </xf>
    <xf numFmtId="0" fontId="8" fillId="11" borderId="49" xfId="4" applyFont="1" applyFill="1" applyBorder="1" applyAlignment="1">
      <alignment horizontal="center" vertical="center" wrapText="1"/>
    </xf>
    <xf numFmtId="0" fontId="9" fillId="9" borderId="52" xfId="4" applyFont="1" applyFill="1" applyBorder="1" applyAlignment="1">
      <alignment horizontal="center" vertical="center"/>
    </xf>
    <xf numFmtId="165" fontId="10" fillId="0" borderId="51" xfId="4" applyNumberFormat="1" applyFont="1" applyBorder="1" applyAlignment="1">
      <alignment horizontal="center" vertical="center"/>
    </xf>
    <xf numFmtId="0" fontId="7" fillId="0" borderId="49" xfId="4" applyFont="1" applyBorder="1" applyAlignment="1">
      <alignment horizontal="center" vertical="center"/>
    </xf>
    <xf numFmtId="165" fontId="9" fillId="11" borderId="51" xfId="4" applyNumberFormat="1" applyFont="1" applyFill="1" applyBorder="1" applyAlignment="1">
      <alignment horizontal="center" vertical="center" wrapText="1"/>
    </xf>
    <xf numFmtId="0" fontId="8" fillId="0" borderId="0" xfId="4" applyFont="1" applyAlignment="1">
      <alignment horizontal="center" vertical="center" wrapText="1"/>
    </xf>
    <xf numFmtId="0" fontId="10" fillId="0" borderId="49" xfId="4" applyFont="1" applyBorder="1" applyAlignment="1">
      <alignment horizontal="left" vertical="top" wrapText="1"/>
    </xf>
    <xf numFmtId="1" fontId="10" fillId="0" borderId="51" xfId="4" applyNumberFormat="1" applyFont="1" applyBorder="1" applyAlignment="1">
      <alignment horizontal="center" vertical="center"/>
    </xf>
    <xf numFmtId="169" fontId="10" fillId="0" borderId="52" xfId="5" applyNumberFormat="1" applyFont="1" applyFill="1" applyBorder="1" applyAlignment="1">
      <alignment horizontal="center" vertical="center"/>
    </xf>
    <xf numFmtId="0" fontId="10" fillId="0" borderId="0" xfId="0" applyFont="1"/>
    <xf numFmtId="0" fontId="10" fillId="0" borderId="49" xfId="4" applyFont="1" applyBorder="1" applyAlignment="1">
      <alignment horizontal="center" vertical="center"/>
    </xf>
    <xf numFmtId="165" fontId="10" fillId="0" borderId="52" xfId="4" applyNumberFormat="1" applyFont="1" applyBorder="1" applyAlignment="1">
      <alignment horizontal="center" vertical="center"/>
    </xf>
    <xf numFmtId="0" fontId="12" fillId="0" borderId="49" xfId="4" applyFont="1" applyBorder="1" applyAlignment="1">
      <alignment horizontal="center" vertical="center"/>
    </xf>
    <xf numFmtId="165" fontId="7" fillId="0" borderId="49" xfId="4" applyNumberFormat="1" applyFont="1" applyBorder="1" applyAlignment="1">
      <alignment horizontal="center" vertical="center"/>
    </xf>
    <xf numFmtId="170" fontId="9" fillId="11" borderId="49" xfId="4" applyNumberFormat="1" applyFont="1" applyFill="1" applyBorder="1" applyAlignment="1">
      <alignment horizontal="center" vertical="center"/>
    </xf>
    <xf numFmtId="9" fontId="8" fillId="0" borderId="0" xfId="3" applyFont="1" applyAlignment="1">
      <alignment horizontal="center" vertical="center" wrapText="1"/>
    </xf>
    <xf numFmtId="10" fontId="8" fillId="11" borderId="0" xfId="4" applyNumberFormat="1" applyFont="1" applyFill="1" applyAlignment="1">
      <alignment horizontal="center" vertical="center" wrapText="1"/>
    </xf>
    <xf numFmtId="0" fontId="8" fillId="0" borderId="49" xfId="4" applyFont="1" applyBorder="1" applyAlignment="1">
      <alignment horizontal="center" vertical="center"/>
    </xf>
    <xf numFmtId="0" fontId="8" fillId="0" borderId="53" xfId="4" applyFont="1" applyBorder="1" applyAlignment="1">
      <alignment horizontal="center" vertical="center" wrapText="1"/>
    </xf>
    <xf numFmtId="0" fontId="8" fillId="0" borderId="52" xfId="4" applyFont="1" applyBorder="1" applyAlignment="1">
      <alignment horizontal="center" vertical="center" wrapText="1"/>
    </xf>
    <xf numFmtId="0" fontId="8" fillId="0" borderId="54" xfId="4" applyFont="1" applyBorder="1" applyAlignment="1">
      <alignment horizontal="center" vertical="center" wrapText="1"/>
    </xf>
    <xf numFmtId="165" fontId="9" fillId="0" borderId="55" xfId="4" applyNumberFormat="1" applyFont="1" applyBorder="1" applyAlignment="1">
      <alignment horizontal="center" vertical="center" wrapText="1"/>
    </xf>
    <xf numFmtId="165" fontId="9" fillId="0" borderId="54" xfId="4" applyNumberFormat="1" applyFont="1" applyBorder="1" applyAlignment="1">
      <alignment horizontal="center" vertical="center" wrapText="1"/>
    </xf>
    <xf numFmtId="9" fontId="9" fillId="0" borderId="4" xfId="3" applyFont="1" applyFill="1" applyBorder="1" applyAlignment="1">
      <alignment horizontal="center" vertical="center" wrapText="1"/>
    </xf>
    <xf numFmtId="0" fontId="8" fillId="0" borderId="56" xfId="4" applyFont="1" applyBorder="1" applyAlignment="1">
      <alignment horizontal="center" vertical="center" wrapText="1"/>
    </xf>
    <xf numFmtId="165" fontId="9" fillId="0" borderId="57" xfId="4" applyNumberFormat="1" applyFont="1" applyBorder="1" applyAlignment="1">
      <alignment horizontal="center" vertical="center" wrapText="1"/>
    </xf>
    <xf numFmtId="165" fontId="9" fillId="0" borderId="56" xfId="4" applyNumberFormat="1" applyFont="1" applyBorder="1" applyAlignment="1">
      <alignment horizontal="center" vertical="center" wrapText="1"/>
    </xf>
    <xf numFmtId="165" fontId="13" fillId="11" borderId="19" xfId="4" applyNumberFormat="1" applyFont="1" applyFill="1" applyBorder="1" applyAlignment="1">
      <alignment horizontal="center" vertical="center" wrapText="1"/>
    </xf>
    <xf numFmtId="169" fontId="10" fillId="0" borderId="49" xfId="4" applyNumberFormat="1" applyFont="1" applyBorder="1" applyAlignment="1">
      <alignment horizontal="center" vertical="center"/>
    </xf>
    <xf numFmtId="0" fontId="16" fillId="0" borderId="49" xfId="4" applyFont="1" applyBorder="1" applyAlignment="1">
      <alignment horizontal="left" vertical="center"/>
    </xf>
    <xf numFmtId="0" fontId="17" fillId="0" borderId="49" xfId="4" applyFont="1" applyBorder="1" applyAlignment="1">
      <alignment horizontal="left" vertical="center" wrapText="1"/>
    </xf>
    <xf numFmtId="0" fontId="10" fillId="6" borderId="52" xfId="4" applyFont="1" applyFill="1" applyBorder="1" applyAlignment="1">
      <alignment horizontal="center" vertical="center" wrapText="1"/>
    </xf>
    <xf numFmtId="2" fontId="10" fillId="6" borderId="51" xfId="4" applyNumberFormat="1" applyFont="1" applyFill="1" applyBorder="1" applyAlignment="1">
      <alignment horizontal="center" vertical="center"/>
    </xf>
    <xf numFmtId="0" fontId="10" fillId="0" borderId="49" xfId="4" applyFont="1" applyFill="1" applyBorder="1" applyAlignment="1">
      <alignment horizontal="left" vertical="center" wrapText="1"/>
    </xf>
    <xf numFmtId="0" fontId="8" fillId="12" borderId="49" xfId="4" applyFont="1" applyFill="1" applyBorder="1" applyAlignment="1">
      <alignment horizontal="center" vertical="center" wrapText="1"/>
    </xf>
    <xf numFmtId="0" fontId="10" fillId="12" borderId="49" xfId="4" applyFont="1" applyFill="1" applyBorder="1" applyAlignment="1">
      <alignment horizontal="center" vertical="center" wrapText="1"/>
    </xf>
    <xf numFmtId="0" fontId="8" fillId="0" borderId="49" xfId="4" applyFont="1" applyFill="1" applyBorder="1" applyAlignment="1">
      <alignment horizontal="center" vertical="center" wrapText="1"/>
    </xf>
    <xf numFmtId="0" fontId="10" fillId="12" borderId="52" xfId="4" applyFont="1" applyFill="1" applyBorder="1" applyAlignment="1">
      <alignment horizontal="center" vertical="center" wrapText="1"/>
    </xf>
    <xf numFmtId="2" fontId="10" fillId="12" borderId="51" xfId="4" applyNumberFormat="1" applyFont="1" applyFill="1" applyBorder="1" applyAlignment="1">
      <alignment horizontal="center" vertical="center"/>
    </xf>
    <xf numFmtId="0" fontId="10" fillId="12" borderId="49" xfId="4" applyFont="1" applyFill="1" applyBorder="1" applyAlignment="1">
      <alignment horizontal="left" vertical="center" wrapText="1"/>
    </xf>
    <xf numFmtId="0" fontId="2" fillId="0" borderId="36" xfId="7" applyFont="1" applyBorder="1" applyAlignment="1">
      <alignment horizontal="center" vertical="center"/>
    </xf>
    <xf numFmtId="0" fontId="19" fillId="0" borderId="58" xfId="8" applyFont="1" applyBorder="1" applyAlignment="1">
      <alignment horizontal="center" vertical="center" wrapText="1"/>
    </xf>
    <xf numFmtId="0" fontId="19" fillId="0" borderId="59" xfId="8" applyFont="1" applyBorder="1" applyAlignment="1">
      <alignment horizontal="left" vertical="center" wrapText="1"/>
    </xf>
    <xf numFmtId="0" fontId="19" fillId="0" borderId="17" xfId="8" applyFont="1" applyBorder="1" applyAlignment="1">
      <alignment horizontal="center" vertical="center" wrapText="1"/>
    </xf>
    <xf numFmtId="44" fontId="19" fillId="0" borderId="17" xfId="5" applyFont="1" applyBorder="1" applyAlignment="1">
      <alignment horizontal="center" vertical="center" wrapText="1"/>
    </xf>
    <xf numFmtId="44" fontId="19" fillId="0" borderId="18" xfId="5" applyFont="1" applyBorder="1" applyAlignment="1">
      <alignment horizontal="center" vertical="center" wrapText="1"/>
    </xf>
    <xf numFmtId="0" fontId="19" fillId="0" borderId="11" xfId="8" applyFont="1" applyBorder="1" applyAlignment="1">
      <alignment horizontal="center" vertical="center"/>
    </xf>
    <xf numFmtId="0" fontId="1" fillId="0" borderId="0" xfId="7"/>
    <xf numFmtId="0" fontId="20" fillId="13" borderId="9" xfId="0" applyFont="1" applyFill="1" applyBorder="1" applyAlignment="1">
      <alignment horizontal="left" vertical="top"/>
    </xf>
    <xf numFmtId="0" fontId="20" fillId="0" borderId="9" xfId="7" applyFont="1" applyBorder="1" applyAlignment="1">
      <alignment horizontal="left" vertical="top"/>
    </xf>
    <xf numFmtId="0" fontId="1" fillId="0" borderId="28" xfId="7" applyBorder="1" applyAlignment="1">
      <alignment horizontal="center" vertical="center" wrapText="1"/>
    </xf>
    <xf numFmtId="44" fontId="0" fillId="0" borderId="28" xfId="5" applyFont="1" applyFill="1" applyBorder="1" applyAlignment="1">
      <alignment horizontal="left" vertical="top"/>
    </xf>
    <xf numFmtId="166" fontId="1" fillId="0" borderId="9" xfId="7" applyNumberFormat="1" applyBorder="1" applyAlignment="1">
      <alignment horizontal="left" vertical="top"/>
    </xf>
    <xf numFmtId="0" fontId="1" fillId="0" borderId="60" xfId="7" applyBorder="1" applyAlignment="1">
      <alignment horizontal="left" vertical="top"/>
    </xf>
    <xf numFmtId="0" fontId="1" fillId="0" borderId="9" xfId="7" applyBorder="1" applyAlignment="1">
      <alignment horizontal="left" vertical="top"/>
    </xf>
    <xf numFmtId="0" fontId="20" fillId="8" borderId="9" xfId="0" applyFont="1" applyFill="1" applyBorder="1" applyAlignment="1">
      <alignment horizontal="left" vertical="top"/>
    </xf>
    <xf numFmtId="0" fontId="20" fillId="0" borderId="9" xfId="0" applyFont="1" applyBorder="1" applyAlignment="1">
      <alignment horizontal="left" vertical="top" wrapText="1"/>
    </xf>
    <xf numFmtId="0" fontId="20" fillId="8" borderId="9" xfId="0" applyFont="1" applyFill="1" applyBorder="1" applyAlignment="1">
      <alignment horizontal="left" vertical="top" wrapText="1"/>
    </xf>
    <xf numFmtId="0" fontId="20" fillId="0" borderId="9" xfId="0" applyFont="1" applyBorder="1" applyAlignment="1">
      <alignment horizontal="left" vertical="top"/>
    </xf>
    <xf numFmtId="0" fontId="20" fillId="0" borderId="9" xfId="7" applyFont="1" applyBorder="1" applyAlignment="1">
      <alignment horizontal="left" vertical="top" wrapText="1"/>
    </xf>
    <xf numFmtId="0" fontId="20" fillId="14" borderId="9" xfId="0" applyFont="1" applyFill="1" applyBorder="1" applyAlignment="1">
      <alignment horizontal="left" vertical="top"/>
    </xf>
    <xf numFmtId="0" fontId="20" fillId="0" borderId="9" xfId="7" applyFont="1" applyBorder="1" applyAlignment="1">
      <alignment horizontal="left" vertical="center"/>
    </xf>
    <xf numFmtId="49" fontId="1" fillId="2" borderId="9" xfId="7" applyNumberFormat="1" applyFill="1" applyBorder="1" applyAlignment="1">
      <alignment vertical="center"/>
    </xf>
    <xf numFmtId="0" fontId="0" fillId="2" borderId="9" xfId="7" applyFont="1" applyFill="1" applyBorder="1" applyAlignment="1">
      <alignment horizontal="left" vertical="top"/>
    </xf>
    <xf numFmtId="0" fontId="1" fillId="2" borderId="9" xfId="7" applyFill="1" applyBorder="1" applyAlignment="1">
      <alignment horizontal="left" vertical="top"/>
    </xf>
    <xf numFmtId="0" fontId="1" fillId="2" borderId="9" xfId="7" applyFill="1" applyBorder="1" applyAlignment="1">
      <alignment horizontal="center" vertical="center" wrapText="1"/>
    </xf>
    <xf numFmtId="44" fontId="0" fillId="2" borderId="9" xfId="5" applyFont="1" applyFill="1" applyBorder="1" applyAlignment="1">
      <alignment horizontal="left" vertical="top"/>
    </xf>
    <xf numFmtId="0" fontId="1" fillId="2" borderId="60" xfId="7" applyFill="1" applyBorder="1" applyAlignment="1">
      <alignment horizontal="left" vertical="top"/>
    </xf>
    <xf numFmtId="49" fontId="1" fillId="0" borderId="9" xfId="7" applyNumberFormat="1" applyBorder="1" applyAlignment="1">
      <alignment vertical="center"/>
    </xf>
    <xf numFmtId="1" fontId="8" fillId="15" borderId="9" xfId="4" applyNumberFormat="1" applyFont="1" applyFill="1" applyBorder="1" applyAlignment="1">
      <alignment horizontal="center" vertical="center" wrapText="1"/>
    </xf>
    <xf numFmtId="0" fontId="0" fillId="0" borderId="9" xfId="7" applyFont="1" applyBorder="1" applyAlignment="1">
      <alignment horizontal="center" vertical="center" wrapText="1"/>
    </xf>
    <xf numFmtId="44" fontId="0" fillId="0" borderId="9" xfId="5" applyFont="1" applyFill="1" applyBorder="1" applyAlignment="1">
      <alignment horizontal="left" vertical="top"/>
    </xf>
    <xf numFmtId="0" fontId="8" fillId="0" borderId="9" xfId="4" applyFont="1" applyBorder="1" applyAlignment="1">
      <alignment horizontal="center" vertical="center" wrapText="1"/>
    </xf>
    <xf numFmtId="0" fontId="1" fillId="0" borderId="9" xfId="7" applyBorder="1" applyAlignment="1">
      <alignment horizontal="center" vertical="center" wrapText="1"/>
    </xf>
    <xf numFmtId="0" fontId="0" fillId="0" borderId="9" xfId="0" applyBorder="1" applyAlignment="1">
      <alignment horizontal="center" vertical="top"/>
    </xf>
    <xf numFmtId="0" fontId="0" fillId="0" borderId="9" xfId="0" applyBorder="1" applyAlignment="1">
      <alignment horizontal="left" vertical="top"/>
    </xf>
    <xf numFmtId="166" fontId="0" fillId="0" borderId="9" xfId="0" applyNumberFormat="1" applyBorder="1" applyAlignment="1">
      <alignment horizontal="center" vertical="top"/>
    </xf>
    <xf numFmtId="0" fontId="0" fillId="0" borderId="0" xfId="0" applyAlignment="1">
      <alignment vertical="top"/>
    </xf>
    <xf numFmtId="0" fontId="0" fillId="0" borderId="0" xfId="0" applyAlignment="1">
      <alignment horizontal="left" vertical="top"/>
    </xf>
    <xf numFmtId="0" fontId="0" fillId="0" borderId="60" xfId="7" applyFont="1" applyBorder="1" applyAlignment="1">
      <alignment horizontal="left" vertical="top"/>
    </xf>
    <xf numFmtId="0" fontId="0" fillId="0" borderId="60" xfId="0" applyBorder="1" applyAlignment="1">
      <alignment horizontal="left" vertical="top"/>
    </xf>
    <xf numFmtId="0" fontId="1" fillId="0" borderId="9" xfId="7" applyBorder="1" applyAlignment="1">
      <alignment vertical="center"/>
    </xf>
    <xf numFmtId="44" fontId="0" fillId="0" borderId="9" xfId="5" applyFont="1" applyFill="1" applyBorder="1" applyAlignment="1">
      <alignment horizontal="center" vertical="top"/>
    </xf>
    <xf numFmtId="49" fontId="1" fillId="0" borderId="64" xfId="7" applyNumberFormat="1" applyBorder="1" applyAlignment="1">
      <alignment vertical="center"/>
    </xf>
    <xf numFmtId="0" fontId="1" fillId="0" borderId="65" xfId="7" applyBorder="1" applyAlignment="1">
      <alignment horizontal="left" vertical="top"/>
    </xf>
    <xf numFmtId="49" fontId="1" fillId="0" borderId="2" xfId="7" applyNumberFormat="1" applyBorder="1" applyAlignment="1">
      <alignment vertical="center"/>
    </xf>
    <xf numFmtId="0" fontId="1" fillId="0" borderId="28" xfId="7" applyBorder="1" applyAlignment="1">
      <alignment horizontal="left" vertical="top"/>
    </xf>
    <xf numFmtId="49" fontId="1" fillId="0" borderId="66" xfId="7" applyNumberFormat="1" applyBorder="1" applyAlignment="1">
      <alignment vertical="center"/>
    </xf>
    <xf numFmtId="44" fontId="0" fillId="0" borderId="9" xfId="5" applyFont="1" applyBorder="1" applyAlignment="1">
      <alignment horizontal="left" vertical="top"/>
    </xf>
    <xf numFmtId="0" fontId="1" fillId="0" borderId="9" xfId="7" applyBorder="1" applyAlignment="1">
      <alignment horizontal="left" vertical="top" wrapText="1"/>
    </xf>
    <xf numFmtId="0" fontId="1" fillId="0" borderId="61" xfId="7" applyBorder="1" applyAlignment="1">
      <alignment horizontal="left" vertical="top"/>
    </xf>
    <xf numFmtId="0" fontId="1" fillId="0" borderId="34" xfId="7" applyBorder="1" applyAlignment="1">
      <alignment horizontal="left" vertical="top"/>
    </xf>
    <xf numFmtId="44" fontId="1" fillId="0" borderId="9" xfId="5" applyFont="1" applyBorder="1" applyAlignment="1">
      <alignment horizontal="center" vertical="center"/>
    </xf>
    <xf numFmtId="44" fontId="1" fillId="0" borderId="32" xfId="5" applyFont="1" applyBorder="1" applyAlignment="1">
      <alignment horizontal="center" vertical="center"/>
    </xf>
    <xf numFmtId="0" fontId="1" fillId="0" borderId="0" xfId="7" applyAlignment="1">
      <alignment horizontal="left"/>
    </xf>
    <xf numFmtId="0" fontId="1" fillId="0" borderId="0" xfId="7" applyAlignment="1">
      <alignment horizontal="center" vertical="center" wrapText="1"/>
    </xf>
    <xf numFmtId="44" fontId="0" fillId="0" borderId="0" xfId="5" applyFont="1"/>
    <xf numFmtId="2" fontId="10" fillId="0" borderId="49" xfId="4" applyNumberFormat="1" applyFont="1" applyBorder="1" applyAlignment="1">
      <alignment horizontal="center" vertical="center" wrapText="1"/>
    </xf>
    <xf numFmtId="2" fontId="10" fillId="0" borderId="49" xfId="4" applyNumberFormat="1" applyFont="1" applyBorder="1" applyAlignment="1">
      <alignment horizontal="center" vertical="center"/>
    </xf>
    <xf numFmtId="0" fontId="8" fillId="5" borderId="49" xfId="4" applyFont="1" applyFill="1" applyBorder="1" applyAlignment="1">
      <alignment horizontal="center" vertical="center" wrapText="1"/>
    </xf>
    <xf numFmtId="0" fontId="7" fillId="5" borderId="49" xfId="4" applyFont="1" applyFill="1" applyBorder="1" applyAlignment="1">
      <alignment horizontal="center" vertical="center"/>
    </xf>
    <xf numFmtId="0" fontId="9" fillId="5" borderId="52" xfId="4" applyFont="1" applyFill="1" applyBorder="1" applyAlignment="1">
      <alignment horizontal="center" vertical="center" wrapText="1"/>
    </xf>
    <xf numFmtId="0" fontId="9" fillId="5" borderId="51" xfId="4" applyFont="1" applyFill="1" applyBorder="1" applyAlignment="1">
      <alignment horizontal="center" vertical="center" wrapText="1"/>
    </xf>
    <xf numFmtId="0" fontId="8" fillId="5" borderId="50" xfId="4" applyFont="1" applyFill="1" applyBorder="1" applyAlignment="1">
      <alignment horizontal="center" vertical="center" wrapText="1"/>
    </xf>
    <xf numFmtId="165" fontId="9" fillId="5" borderId="52" xfId="4" applyNumberFormat="1" applyFont="1" applyFill="1" applyBorder="1" applyAlignment="1">
      <alignment horizontal="center" vertical="center" wrapText="1"/>
    </xf>
    <xf numFmtId="165" fontId="9" fillId="5" borderId="49" xfId="4" applyNumberFormat="1" applyFont="1" applyFill="1" applyBorder="1" applyAlignment="1">
      <alignment horizontal="center" vertical="center" wrapText="1"/>
    </xf>
    <xf numFmtId="2" fontId="10" fillId="0" borderId="50" xfId="4" applyNumberFormat="1" applyFont="1" applyBorder="1" applyAlignment="1">
      <alignment horizontal="center" vertical="center"/>
    </xf>
    <xf numFmtId="9" fontId="10" fillId="0" borderId="50" xfId="3" applyFont="1" applyBorder="1" applyAlignment="1">
      <alignment horizontal="center" vertical="center"/>
    </xf>
    <xf numFmtId="0" fontId="8" fillId="11" borderId="50" xfId="4" applyFont="1" applyFill="1" applyBorder="1" applyAlignment="1">
      <alignment horizontal="center" vertical="center" wrapText="1"/>
    </xf>
    <xf numFmtId="165" fontId="9" fillId="11" borderId="52" xfId="4" applyNumberFormat="1" applyFont="1" applyFill="1" applyBorder="1" applyAlignment="1">
      <alignment horizontal="center" vertical="center" wrapText="1"/>
    </xf>
    <xf numFmtId="1" fontId="8" fillId="0" borderId="51" xfId="4" applyNumberFormat="1" applyFont="1" applyBorder="1" applyAlignment="1">
      <alignment horizontal="center" vertical="center" wrapText="1"/>
    </xf>
    <xf numFmtId="2" fontId="10" fillId="0" borderId="50" xfId="9" applyNumberFormat="1" applyFont="1" applyBorder="1" applyAlignment="1">
      <alignment horizontal="center" vertical="center"/>
    </xf>
    <xf numFmtId="2" fontId="8" fillId="0" borderId="51" xfId="4" applyNumberFormat="1" applyFont="1" applyBorder="1" applyAlignment="1">
      <alignment horizontal="center" vertical="center"/>
    </xf>
    <xf numFmtId="2" fontId="10" fillId="0" borderId="52" xfId="9" applyNumberFormat="1" applyFont="1" applyBorder="1" applyAlignment="1">
      <alignment horizontal="center" vertical="center"/>
    </xf>
    <xf numFmtId="2" fontId="10" fillId="0" borderId="52" xfId="9" applyNumberFormat="1" applyFont="1" applyFill="1" applyBorder="1" applyAlignment="1">
      <alignment horizontal="center" vertical="center"/>
    </xf>
    <xf numFmtId="1" fontId="8" fillId="0" borderId="50" xfId="4" applyNumberFormat="1" applyFont="1" applyBorder="1" applyAlignment="1">
      <alignment horizontal="center" vertical="center" wrapText="1"/>
    </xf>
    <xf numFmtId="165" fontId="9" fillId="2" borderId="49" xfId="4" applyNumberFormat="1" applyFont="1" applyFill="1" applyBorder="1" applyAlignment="1">
      <alignment horizontal="center" vertical="center" wrapText="1"/>
    </xf>
    <xf numFmtId="0" fontId="10" fillId="4" borderId="49" xfId="4" applyFont="1" applyFill="1" applyBorder="1" applyAlignment="1">
      <alignment horizontal="left" vertical="center" wrapText="1"/>
    </xf>
    <xf numFmtId="0" fontId="8" fillId="4" borderId="52" xfId="4" applyFont="1" applyFill="1" applyBorder="1" applyAlignment="1">
      <alignment horizontal="center" vertical="center" wrapText="1"/>
    </xf>
    <xf numFmtId="2" fontId="8" fillId="4" borderId="51" xfId="4" applyNumberFormat="1" applyFont="1" applyFill="1" applyBorder="1" applyAlignment="1">
      <alignment horizontal="center" vertical="center"/>
    </xf>
    <xf numFmtId="0" fontId="20" fillId="0" borderId="60" xfId="7" applyFont="1" applyBorder="1" applyAlignment="1">
      <alignment horizontal="left" vertical="top" wrapText="1"/>
    </xf>
    <xf numFmtId="0" fontId="20" fillId="0" borderId="60" xfId="7" applyFont="1" applyBorder="1" applyAlignment="1">
      <alignment horizontal="left" vertical="top"/>
    </xf>
    <xf numFmtId="0" fontId="20" fillId="0" borderId="34" xfId="7" applyFont="1" applyBorder="1" applyAlignment="1">
      <alignment vertical="center"/>
    </xf>
    <xf numFmtId="0" fontId="20" fillId="3" borderId="60" xfId="7" applyFont="1" applyFill="1" applyBorder="1" applyAlignment="1">
      <alignment horizontal="left" vertical="top"/>
    </xf>
    <xf numFmtId="0" fontId="0" fillId="0" borderId="28" xfId="7" applyFont="1" applyBorder="1" applyAlignment="1">
      <alignment horizontal="center" vertical="center" wrapText="1"/>
    </xf>
    <xf numFmtId="0" fontId="20" fillId="0" borderId="9" xfId="7" applyFont="1" applyBorder="1" applyAlignment="1">
      <alignment vertical="center"/>
    </xf>
    <xf numFmtId="0" fontId="0" fillId="0" borderId="9" xfId="7" applyFont="1" applyBorder="1" applyAlignment="1">
      <alignment horizontal="left" vertical="top"/>
    </xf>
    <xf numFmtId="0" fontId="9" fillId="0" borderId="0" xfId="4" applyFont="1" applyAlignment="1">
      <alignment horizontal="center" vertical="center" wrapText="1"/>
    </xf>
    <xf numFmtId="0" fontId="8" fillId="0" borderId="50" xfId="4" applyFont="1" applyBorder="1" applyAlignment="1">
      <alignment horizontal="center" vertical="center" wrapText="1"/>
    </xf>
    <xf numFmtId="0" fontId="3" fillId="0" borderId="60" xfId="2" applyBorder="1" applyAlignment="1">
      <alignment horizontal="left" vertical="top"/>
    </xf>
    <xf numFmtId="2" fontId="8" fillId="0" borderId="51" xfId="4" applyNumberFormat="1" applyFont="1" applyBorder="1" applyAlignment="1">
      <alignment horizontal="center" vertical="center" wrapText="1"/>
    </xf>
    <xf numFmtId="165" fontId="8" fillId="2" borderId="49" xfId="4" applyNumberFormat="1" applyFont="1" applyFill="1" applyBorder="1" applyAlignment="1">
      <alignment horizontal="center" vertical="center" wrapText="1"/>
    </xf>
    <xf numFmtId="165" fontId="8" fillId="2" borderId="51" xfId="4" applyNumberFormat="1" applyFont="1" applyFill="1" applyBorder="1" applyAlignment="1">
      <alignment horizontal="center" vertical="center" wrapText="1"/>
    </xf>
    <xf numFmtId="0" fontId="9" fillId="9" borderId="67" xfId="4" applyFont="1" applyFill="1" applyBorder="1" applyAlignment="1">
      <alignment horizontal="center" vertical="center"/>
    </xf>
    <xf numFmtId="0" fontId="13" fillId="9" borderId="67" xfId="4" applyFont="1" applyFill="1" applyBorder="1" applyAlignment="1">
      <alignment horizontal="center" vertical="center"/>
    </xf>
    <xf numFmtId="165" fontId="9" fillId="9" borderId="67" xfId="4" applyNumberFormat="1" applyFont="1" applyFill="1" applyBorder="1" applyAlignment="1">
      <alignment horizontal="center" vertical="center"/>
    </xf>
    <xf numFmtId="165" fontId="9" fillId="9" borderId="68" xfId="4" applyNumberFormat="1" applyFont="1" applyFill="1" applyBorder="1" applyAlignment="1">
      <alignment horizontal="center" vertical="center"/>
    </xf>
    <xf numFmtId="0" fontId="10" fillId="0" borderId="70" xfId="4" applyFont="1" applyBorder="1" applyAlignment="1">
      <alignment horizontal="center" vertical="center" wrapText="1"/>
    </xf>
    <xf numFmtId="0" fontId="10" fillId="0" borderId="71" xfId="4" applyFont="1" applyBorder="1" applyAlignment="1">
      <alignment horizontal="center" vertical="center" wrapText="1"/>
    </xf>
    <xf numFmtId="165" fontId="8" fillId="0" borderId="70" xfId="4" applyNumberFormat="1" applyFont="1" applyBorder="1" applyAlignment="1">
      <alignment horizontal="center" vertical="center"/>
    </xf>
    <xf numFmtId="0" fontId="10" fillId="0" borderId="75" xfId="4" applyFont="1" applyBorder="1" applyAlignment="1">
      <alignment horizontal="center" vertical="center" wrapText="1"/>
    </xf>
    <xf numFmtId="0" fontId="15" fillId="0" borderId="75" xfId="4" applyFont="1" applyBorder="1" applyAlignment="1">
      <alignment horizontal="left" vertical="center" wrapText="1"/>
    </xf>
    <xf numFmtId="0" fontId="10" fillId="0" borderId="76" xfId="4" applyFont="1" applyBorder="1" applyAlignment="1">
      <alignment horizontal="center" vertical="center" wrapText="1"/>
    </xf>
    <xf numFmtId="0" fontId="10" fillId="0" borderId="77" xfId="4" applyFont="1" applyBorder="1" applyAlignment="1">
      <alignment horizontal="center" vertical="center"/>
    </xf>
    <xf numFmtId="165" fontId="10" fillId="0" borderId="77" xfId="4" applyNumberFormat="1" applyFont="1" applyBorder="1" applyAlignment="1">
      <alignment horizontal="center" vertical="center"/>
    </xf>
    <xf numFmtId="165" fontId="10" fillId="0" borderId="75" xfId="4" applyNumberFormat="1" applyFont="1" applyBorder="1" applyAlignment="1">
      <alignment horizontal="center" vertical="center"/>
    </xf>
    <xf numFmtId="165" fontId="8" fillId="0" borderId="78" xfId="4" applyNumberFormat="1" applyFont="1" applyBorder="1" applyAlignment="1">
      <alignment horizontal="center" vertical="center" wrapText="1"/>
    </xf>
    <xf numFmtId="0" fontId="10" fillId="0" borderId="70" xfId="4" applyFont="1" applyBorder="1" applyAlignment="1">
      <alignment horizontal="left" vertical="center" wrapText="1"/>
    </xf>
    <xf numFmtId="2" fontId="10" fillId="0" borderId="72" xfId="4" applyNumberFormat="1" applyFont="1" applyBorder="1" applyAlignment="1">
      <alignment horizontal="center" vertical="center"/>
    </xf>
    <xf numFmtId="165" fontId="8" fillId="0" borderId="73" xfId="4" applyNumberFormat="1" applyFont="1" applyBorder="1" applyAlignment="1">
      <alignment horizontal="center" vertical="center" wrapText="1"/>
    </xf>
    <xf numFmtId="0" fontId="10" fillId="0" borderId="75" xfId="4" applyFont="1" applyBorder="1" applyAlignment="1">
      <alignment horizontal="left" vertical="center" wrapText="1"/>
    </xf>
    <xf numFmtId="2" fontId="10" fillId="0" borderId="77" xfId="4" applyNumberFormat="1" applyFont="1" applyBorder="1" applyAlignment="1">
      <alignment horizontal="center" vertical="center"/>
    </xf>
    <xf numFmtId="0" fontId="10" fillId="0" borderId="79" xfId="4" applyFont="1" applyBorder="1" applyAlignment="1">
      <alignment horizontal="center" vertical="center" wrapText="1"/>
    </xf>
    <xf numFmtId="0" fontId="10" fillId="0" borderId="79" xfId="4" applyFont="1" applyBorder="1" applyAlignment="1">
      <alignment horizontal="left" vertical="top" wrapText="1"/>
    </xf>
    <xf numFmtId="165" fontId="9" fillId="11" borderId="54" xfId="4" applyNumberFormat="1" applyFont="1" applyFill="1" applyBorder="1" applyAlignment="1">
      <alignment horizontal="center" vertical="center" wrapText="1"/>
    </xf>
    <xf numFmtId="165" fontId="9" fillId="11" borderId="79" xfId="4" applyNumberFormat="1" applyFont="1" applyFill="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1" fillId="0" borderId="9" xfId="0" applyFont="1" applyBorder="1" applyAlignment="1">
      <alignment horizontal="center" vertical="center"/>
    </xf>
    <xf numFmtId="44" fontId="21" fillId="0" borderId="9" xfId="1" applyFont="1" applyBorder="1" applyAlignment="1">
      <alignment horizontal="center" vertical="center"/>
    </xf>
    <xf numFmtId="44" fontId="0" fillId="0" borderId="0" xfId="0" applyNumberFormat="1"/>
    <xf numFmtId="0" fontId="21" fillId="0" borderId="81" xfId="0" applyFont="1" applyBorder="1" applyAlignment="1">
      <alignment vertical="center"/>
    </xf>
    <xf numFmtId="0" fontId="21" fillId="0" borderId="82" xfId="0" applyFont="1" applyBorder="1" applyAlignment="1">
      <alignment horizontal="center" vertical="center"/>
    </xf>
    <xf numFmtId="44" fontId="21" fillId="0" borderId="82" xfId="1" applyFont="1" applyBorder="1" applyAlignment="1">
      <alignment horizontal="center" vertical="center" wrapText="1"/>
    </xf>
    <xf numFmtId="44" fontId="21" fillId="0" borderId="82" xfId="1" applyFont="1" applyBorder="1" applyAlignment="1">
      <alignment horizontal="center" vertical="center"/>
    </xf>
    <xf numFmtId="44" fontId="21" fillId="0" borderId="83" xfId="1" applyFont="1" applyBorder="1" applyAlignment="1">
      <alignment horizontal="center" vertical="center"/>
    </xf>
    <xf numFmtId="0" fontId="23" fillId="15" borderId="0" xfId="0" applyFont="1" applyFill="1" applyAlignment="1">
      <alignment vertical="center"/>
    </xf>
    <xf numFmtId="0" fontId="21" fillId="15" borderId="0" xfId="0" applyFont="1" applyFill="1" applyAlignment="1">
      <alignment horizontal="center" vertical="center"/>
    </xf>
    <xf numFmtId="44" fontId="21" fillId="15" borderId="0" xfId="1" applyFont="1" applyFill="1" applyBorder="1" applyAlignment="1">
      <alignment horizontal="center" vertical="center" wrapText="1"/>
    </xf>
    <xf numFmtId="44" fontId="21" fillId="15" borderId="0" xfId="1" applyFont="1" applyFill="1" applyBorder="1" applyAlignment="1">
      <alignment horizontal="center" vertical="center"/>
    </xf>
    <xf numFmtId="0" fontId="21" fillId="15" borderId="38" xfId="0" applyFont="1" applyFill="1" applyBorder="1" applyAlignment="1">
      <alignment horizontal="center" vertical="center"/>
    </xf>
    <xf numFmtId="44" fontId="21" fillId="15" borderId="38" xfId="1" applyFont="1" applyFill="1" applyBorder="1" applyAlignment="1">
      <alignment horizontal="center" vertical="center" wrapText="1"/>
    </xf>
    <xf numFmtId="44" fontId="21" fillId="15" borderId="38" xfId="1" applyFont="1" applyFill="1" applyBorder="1" applyAlignment="1">
      <alignment horizontal="center" vertical="center"/>
    </xf>
    <xf numFmtId="0" fontId="0" fillId="0" borderId="85" xfId="0" applyBorder="1"/>
    <xf numFmtId="0" fontId="2" fillId="17" borderId="86" xfId="0" applyFont="1" applyFill="1" applyBorder="1" applyAlignment="1">
      <alignment vertical="center"/>
    </xf>
    <xf numFmtId="0" fontId="0" fillId="17" borderId="59" xfId="0" applyFill="1" applyBorder="1" applyAlignment="1">
      <alignment vertical="center"/>
    </xf>
    <xf numFmtId="44" fontId="0" fillId="17" borderId="59" xfId="1" applyFont="1" applyFill="1" applyBorder="1" applyAlignment="1">
      <alignment vertical="center"/>
    </xf>
    <xf numFmtId="0" fontId="0" fillId="17" borderId="87" xfId="0" applyFill="1" applyBorder="1" applyAlignment="1">
      <alignment vertical="center"/>
    </xf>
    <xf numFmtId="0" fontId="0" fillId="17" borderId="20" xfId="0" applyFill="1" applyBorder="1" applyAlignment="1">
      <alignment vertical="center"/>
    </xf>
    <xf numFmtId="44" fontId="21" fillId="0" borderId="88" xfId="1" applyFont="1" applyBorder="1" applyAlignment="1">
      <alignment horizontal="center" vertical="center"/>
    </xf>
    <xf numFmtId="0" fontId="21" fillId="2" borderId="85" xfId="0" applyFont="1" applyFill="1" applyBorder="1" applyAlignment="1">
      <alignment horizontal="center" vertical="center"/>
    </xf>
    <xf numFmtId="0" fontId="21" fillId="0" borderId="82" xfId="0" applyFont="1" applyBorder="1" applyAlignment="1">
      <alignment vertical="center"/>
    </xf>
    <xf numFmtId="0" fontId="21" fillId="0" borderId="0" xfId="0" applyFont="1" applyAlignment="1">
      <alignment horizontal="center"/>
    </xf>
    <xf numFmtId="0" fontId="21" fillId="0" borderId="0" xfId="0" applyFont="1"/>
    <xf numFmtId="0" fontId="21" fillId="0" borderId="0" xfId="0" applyFont="1" applyAlignment="1">
      <alignment horizontal="center" vertical="center"/>
    </xf>
    <xf numFmtId="44" fontId="21" fillId="0" borderId="0" xfId="1" applyFont="1" applyBorder="1" applyAlignment="1">
      <alignment horizontal="center" vertical="center"/>
    </xf>
    <xf numFmtId="44" fontId="0" fillId="0" borderId="0" xfId="1" applyFont="1" applyBorder="1"/>
    <xf numFmtId="0" fontId="25" fillId="0" borderId="0" xfId="0" applyFont="1" applyAlignment="1">
      <alignment horizontal="left" vertical="center" wrapText="1"/>
    </xf>
    <xf numFmtId="0" fontId="23"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94" xfId="0" applyFont="1" applyBorder="1" applyAlignment="1">
      <alignment horizontal="center" vertical="center" wrapText="1"/>
    </xf>
    <xf numFmtId="0" fontId="0" fillId="17" borderId="21" xfId="0" applyFill="1" applyBorder="1" applyAlignment="1">
      <alignment vertical="center"/>
    </xf>
    <xf numFmtId="44" fontId="0" fillId="17" borderId="21" xfId="1" applyFont="1" applyFill="1" applyBorder="1" applyAlignment="1">
      <alignment vertical="center"/>
    </xf>
    <xf numFmtId="0" fontId="0" fillId="17" borderId="23" xfId="0" applyFill="1" applyBorder="1" applyAlignment="1">
      <alignment vertical="center"/>
    </xf>
    <xf numFmtId="0" fontId="24" fillId="0" borderId="21" xfId="0" applyFont="1" applyBorder="1" applyAlignment="1">
      <alignment horizontal="center" vertical="center" wrapText="1"/>
    </xf>
    <xf numFmtId="44" fontId="0" fillId="0" borderId="21" xfId="1" applyFont="1" applyFill="1" applyBorder="1" applyAlignment="1">
      <alignment vertical="center"/>
    </xf>
    <xf numFmtId="0" fontId="9" fillId="15" borderId="38" xfId="0" applyFont="1" applyFill="1" applyBorder="1" applyAlignment="1">
      <alignment vertical="center"/>
    </xf>
    <xf numFmtId="0" fontId="23" fillId="0" borderId="85" xfId="0" applyFont="1" applyBorder="1" applyAlignment="1">
      <alignment vertical="center"/>
    </xf>
    <xf numFmtId="44" fontId="16" fillId="0" borderId="83" xfId="0" applyNumberFormat="1" applyFont="1" applyBorder="1" applyAlignment="1">
      <alignment vertical="center"/>
    </xf>
    <xf numFmtId="0" fontId="23" fillId="0" borderId="0" xfId="0" applyFont="1" applyAlignment="1">
      <alignment horizontal="center" vertical="center"/>
    </xf>
    <xf numFmtId="0" fontId="16" fillId="0" borderId="0" xfId="0" applyFont="1" applyAlignment="1">
      <alignment vertical="center"/>
    </xf>
    <xf numFmtId="44" fontId="21" fillId="0" borderId="0" xfId="1" applyFont="1" applyBorder="1" applyAlignment="1">
      <alignment horizontal="center" vertical="center" wrapText="1"/>
    </xf>
    <xf numFmtId="0" fontId="24" fillId="0" borderId="0" xfId="0" applyFont="1" applyAlignment="1">
      <alignment horizontal="left" vertical="center" wrapText="1"/>
    </xf>
    <xf numFmtId="0" fontId="23" fillId="0" borderId="16" xfId="0" applyFont="1" applyBorder="1" applyAlignment="1">
      <alignment horizontal="center" vertical="center" wrapText="1"/>
    </xf>
    <xf numFmtId="0" fontId="21" fillId="0" borderId="0" xfId="0" applyFont="1" applyAlignment="1">
      <alignment vertical="center"/>
    </xf>
    <xf numFmtId="0" fontId="24" fillId="0" borderId="0" xfId="0" applyFont="1" applyAlignment="1">
      <alignment horizontal="center" vertical="center" wrapText="1"/>
    </xf>
    <xf numFmtId="0" fontId="21" fillId="0" borderId="28" xfId="0" applyFont="1" applyBorder="1" applyAlignment="1">
      <alignment horizontal="left" vertical="center"/>
    </xf>
    <xf numFmtId="0" fontId="23" fillId="0" borderId="31" xfId="0" applyFont="1" applyBorder="1" applyAlignment="1">
      <alignment horizontal="center" vertical="center"/>
    </xf>
    <xf numFmtId="0" fontId="21" fillId="0" borderId="9" xfId="0" applyFont="1" applyBorder="1" applyAlignment="1">
      <alignment horizontal="left" vertical="center"/>
    </xf>
    <xf numFmtId="0" fontId="21" fillId="0" borderId="31" xfId="0" applyFont="1" applyBorder="1" applyAlignment="1">
      <alignment horizontal="center" vertical="center"/>
    </xf>
    <xf numFmtId="0" fontId="21" fillId="0" borderId="85" xfId="0" applyFont="1" applyBorder="1" applyAlignment="1">
      <alignment horizontal="center" vertical="center"/>
    </xf>
    <xf numFmtId="0" fontId="21" fillId="0" borderId="82" xfId="0" applyFont="1" applyBorder="1" applyAlignment="1">
      <alignment horizontal="left" vertical="center"/>
    </xf>
    <xf numFmtId="0" fontId="21" fillId="0" borderId="83" xfId="0" applyFont="1" applyBorder="1" applyAlignment="1">
      <alignment vertical="center"/>
    </xf>
    <xf numFmtId="0" fontId="21" fillId="0" borderId="27" xfId="0" applyFont="1" applyBorder="1" applyAlignment="1">
      <alignment horizontal="center" vertical="center"/>
    </xf>
    <xf numFmtId="44" fontId="21" fillId="0" borderId="28" xfId="1" applyFont="1" applyBorder="1" applyAlignment="1">
      <alignment horizontal="center" vertical="center"/>
    </xf>
    <xf numFmtId="0" fontId="23" fillId="0" borderId="21" xfId="0" applyFont="1" applyBorder="1" applyAlignment="1">
      <alignment horizontal="left" vertical="center"/>
    </xf>
    <xf numFmtId="0" fontId="21" fillId="0" borderId="21" xfId="0" applyFont="1" applyBorder="1" applyAlignment="1">
      <alignment horizontal="center" vertical="center"/>
    </xf>
    <xf numFmtId="44" fontId="21" fillId="0" borderId="21" xfId="1" applyFont="1" applyBorder="1" applyAlignment="1">
      <alignment horizontal="center" vertical="center"/>
    </xf>
    <xf numFmtId="44" fontId="23" fillId="0" borderId="9" xfId="1" applyFont="1" applyBorder="1" applyAlignment="1">
      <alignment horizontal="center" vertical="center"/>
    </xf>
    <xf numFmtId="44" fontId="23" fillId="0" borderId="82" xfId="1" applyFont="1" applyBorder="1" applyAlignment="1">
      <alignment horizontal="center" vertical="center"/>
    </xf>
    <xf numFmtId="0" fontId="21" fillId="0" borderId="93" xfId="0" applyFont="1" applyBorder="1" applyAlignment="1">
      <alignment horizontal="center" vertical="center"/>
    </xf>
    <xf numFmtId="0" fontId="21" fillId="0" borderId="97" xfId="0" applyFont="1" applyBorder="1" applyAlignment="1">
      <alignment horizontal="left" vertical="center"/>
    </xf>
    <xf numFmtId="0" fontId="21" fillId="0" borderId="97" xfId="0" applyFont="1" applyBorder="1" applyAlignment="1">
      <alignment horizontal="center" vertical="center"/>
    </xf>
    <xf numFmtId="44" fontId="21" fillId="0" borderId="97" xfId="1" applyFont="1" applyBorder="1" applyAlignment="1">
      <alignment horizontal="center" vertical="center"/>
    </xf>
    <xf numFmtId="0" fontId="0" fillId="17" borderId="17" xfId="0" applyFill="1" applyBorder="1" applyAlignment="1">
      <alignment vertical="center"/>
    </xf>
    <xf numFmtId="44" fontId="0" fillId="17" borderId="17" xfId="1" applyFont="1" applyFill="1" applyBorder="1" applyAlignment="1">
      <alignment vertical="center"/>
    </xf>
    <xf numFmtId="0" fontId="0" fillId="17" borderId="19" xfId="0" applyFill="1" applyBorder="1" applyAlignment="1">
      <alignment vertical="center"/>
    </xf>
    <xf numFmtId="0" fontId="21" fillId="0" borderId="28" xfId="0" applyFont="1" applyBorder="1" applyAlignment="1">
      <alignment horizontal="center" vertical="center"/>
    </xf>
    <xf numFmtId="0" fontId="21" fillId="0" borderId="0" xfId="0" applyFont="1" applyAlignment="1">
      <alignment wrapText="1"/>
    </xf>
    <xf numFmtId="0" fontId="23" fillId="0" borderId="0" xfId="0" applyFont="1" applyAlignment="1">
      <alignment horizontal="center" vertical="center" wrapText="1"/>
    </xf>
    <xf numFmtId="0" fontId="24" fillId="0" borderId="0" xfId="0" applyFont="1" applyAlignment="1">
      <alignment vertical="center" wrapText="1"/>
    </xf>
    <xf numFmtId="0" fontId="25" fillId="0" borderId="0" xfId="0" applyFont="1" applyAlignment="1">
      <alignment horizontal="center" vertical="center" wrapText="1"/>
    </xf>
    <xf numFmtId="44" fontId="25" fillId="0" borderId="0" xfId="6" applyFont="1" applyFill="1" applyBorder="1" applyAlignment="1">
      <alignment horizontal="center" vertical="center" wrapText="1"/>
    </xf>
    <xf numFmtId="0" fontId="25" fillId="0" borderId="0" xfId="0" applyFont="1" applyAlignment="1">
      <alignment horizontal="left" vertical="top" wrapText="1"/>
    </xf>
    <xf numFmtId="44" fontId="21" fillId="0" borderId="0" xfId="6" applyFont="1" applyAlignment="1">
      <alignment wrapText="1"/>
    </xf>
    <xf numFmtId="44" fontId="25" fillId="0" borderId="0" xfId="6" applyFont="1" applyFill="1" applyBorder="1" applyAlignment="1">
      <alignment vertical="center" wrapText="1"/>
    </xf>
    <xf numFmtId="44" fontId="25" fillId="0" borderId="0" xfId="6" applyFont="1" applyFill="1" applyBorder="1" applyAlignment="1">
      <alignment horizontal="center" wrapText="1"/>
    </xf>
    <xf numFmtId="44" fontId="25" fillId="0" borderId="0" xfId="1" applyFont="1" applyFill="1" applyBorder="1" applyAlignment="1">
      <alignment horizontal="center" vertical="center" wrapText="1"/>
    </xf>
    <xf numFmtId="44" fontId="25" fillId="0" borderId="0" xfId="1" applyFont="1" applyFill="1" applyBorder="1" applyAlignment="1">
      <alignment horizontal="center" wrapText="1"/>
    </xf>
    <xf numFmtId="44" fontId="21" fillId="0" borderId="0" xfId="1" applyFont="1" applyAlignment="1">
      <alignment wrapText="1"/>
    </xf>
    <xf numFmtId="44" fontId="25" fillId="0" borderId="0" xfId="1" applyFont="1" applyFill="1" applyBorder="1" applyAlignment="1">
      <alignment vertical="center" wrapText="1"/>
    </xf>
    <xf numFmtId="0" fontId="26" fillId="0" borderId="0" xfId="0" applyFont="1" applyAlignment="1">
      <alignment horizontal="left" vertical="center" wrapText="1"/>
    </xf>
    <xf numFmtId="44" fontId="21" fillId="0" borderId="0" xfId="1" applyFont="1" applyFill="1" applyAlignment="1">
      <alignment wrapText="1"/>
    </xf>
    <xf numFmtId="166" fontId="21" fillId="0" borderId="0" xfId="0" applyNumberFormat="1" applyFont="1" applyAlignment="1">
      <alignment wrapText="1"/>
    </xf>
    <xf numFmtId="44" fontId="27" fillId="0" borderId="9" xfId="1" applyFont="1" applyBorder="1" applyAlignment="1">
      <alignment horizontal="center" vertical="center"/>
    </xf>
    <xf numFmtId="0" fontId="27" fillId="0" borderId="9" xfId="0" applyFont="1" applyBorder="1" applyAlignment="1">
      <alignment horizontal="left" vertical="center"/>
    </xf>
    <xf numFmtId="0" fontId="27" fillId="0" borderId="9" xfId="0" applyFont="1" applyBorder="1" applyAlignment="1">
      <alignment horizontal="center" vertical="center"/>
    </xf>
    <xf numFmtId="0" fontId="23" fillId="0" borderId="9" xfId="0" applyFont="1" applyBorder="1" applyAlignment="1">
      <alignment horizontal="left" vertical="center"/>
    </xf>
    <xf numFmtId="0" fontId="28" fillId="0" borderId="82" xfId="0" applyFont="1" applyBorder="1" applyAlignment="1">
      <alignment horizontal="left" vertical="center"/>
    </xf>
    <xf numFmtId="0" fontId="27" fillId="0" borderId="82" xfId="0" applyFont="1" applyBorder="1" applyAlignment="1">
      <alignment horizontal="center" vertical="center"/>
    </xf>
    <xf numFmtId="44" fontId="28" fillId="0" borderId="82" xfId="1" applyFont="1" applyBorder="1" applyAlignment="1">
      <alignment horizontal="center" vertical="center"/>
    </xf>
    <xf numFmtId="44" fontId="27" fillId="0" borderId="82" xfId="1" applyFont="1" applyBorder="1" applyAlignment="1">
      <alignment horizontal="center" vertical="center"/>
    </xf>
    <xf numFmtId="44" fontId="28" fillId="0" borderId="9" xfId="1" applyFont="1" applyBorder="1" applyAlignment="1">
      <alignment horizontal="center" vertical="center"/>
    </xf>
    <xf numFmtId="0" fontId="23" fillId="0" borderId="28" xfId="0" applyFont="1" applyBorder="1" applyAlignment="1">
      <alignment horizontal="left" vertical="center"/>
    </xf>
    <xf numFmtId="0" fontId="28" fillId="0" borderId="9" xfId="0" applyFont="1" applyBorder="1" applyAlignment="1">
      <alignment horizontal="left" vertical="center"/>
    </xf>
    <xf numFmtId="0" fontId="25" fillId="15" borderId="21" xfId="0" applyFont="1" applyFill="1" applyBorder="1" applyAlignment="1">
      <alignment horizontal="center" vertical="center" wrapText="1"/>
    </xf>
    <xf numFmtId="44" fontId="25" fillId="15" borderId="21" xfId="1" applyFont="1" applyFill="1" applyBorder="1" applyAlignment="1">
      <alignment horizontal="center" vertical="center" wrapText="1"/>
    </xf>
    <xf numFmtId="44" fontId="25" fillId="0" borderId="21" xfId="1" applyFont="1" applyBorder="1" applyAlignment="1">
      <alignment vertical="center" wrapText="1"/>
    </xf>
    <xf numFmtId="0" fontId="25" fillId="15" borderId="82" xfId="0" applyFont="1" applyFill="1" applyBorder="1" applyAlignment="1">
      <alignment horizontal="center" vertical="center" wrapText="1"/>
    </xf>
    <xf numFmtId="44" fontId="25" fillId="0" borderId="82" xfId="1" applyFont="1" applyBorder="1" applyAlignment="1">
      <alignment vertical="center" wrapText="1"/>
    </xf>
    <xf numFmtId="44" fontId="29" fillId="0" borderId="9" xfId="1" applyFont="1" applyBorder="1" applyAlignment="1">
      <alignment horizontal="center" vertical="center"/>
    </xf>
    <xf numFmtId="0" fontId="21" fillId="0" borderId="0" xfId="0" applyFont="1" applyAlignment="1">
      <alignment horizontal="left" vertical="center"/>
    </xf>
    <xf numFmtId="0" fontId="23" fillId="0" borderId="36" xfId="0" applyFont="1" applyBorder="1" applyAlignment="1">
      <alignment horizontal="center" vertical="center" wrapText="1"/>
    </xf>
    <xf numFmtId="0" fontId="2" fillId="17" borderId="99" xfId="0" applyFont="1" applyFill="1" applyBorder="1" applyAlignment="1">
      <alignment vertical="center"/>
    </xf>
    <xf numFmtId="0" fontId="0" fillId="17" borderId="18" xfId="0" applyFill="1" applyBorder="1" applyAlignment="1">
      <alignment vertical="center"/>
    </xf>
    <xf numFmtId="0" fontId="0" fillId="17" borderId="16" xfId="0" applyFill="1" applyBorder="1" applyAlignment="1">
      <alignment vertical="center"/>
    </xf>
    <xf numFmtId="0" fontId="21" fillId="0" borderId="17" xfId="0" applyFont="1" applyBorder="1" applyAlignment="1">
      <alignment horizontal="center" vertical="center"/>
    </xf>
    <xf numFmtId="44" fontId="21" fillId="0" borderId="17" xfId="1" applyFont="1" applyBorder="1" applyAlignment="1">
      <alignment horizontal="center" vertical="center" wrapText="1"/>
    </xf>
    <xf numFmtId="44" fontId="21" fillId="0" borderId="17" xfId="1" applyFont="1" applyBorder="1" applyAlignment="1">
      <alignment horizontal="center" vertical="center"/>
    </xf>
    <xf numFmtId="44" fontId="21" fillId="0" borderId="18" xfId="1" applyFont="1" applyBorder="1" applyAlignment="1">
      <alignment horizontal="center" vertical="center"/>
    </xf>
    <xf numFmtId="0" fontId="21" fillId="2" borderId="16" xfId="0" applyFont="1" applyFill="1" applyBorder="1" applyAlignment="1">
      <alignment horizontal="center" vertical="center"/>
    </xf>
    <xf numFmtId="44" fontId="21" fillId="0" borderId="19" xfId="1" applyFont="1" applyBorder="1" applyAlignment="1">
      <alignment horizontal="center" vertical="center"/>
    </xf>
    <xf numFmtId="0" fontId="6" fillId="3" borderId="0" xfId="0" applyFont="1" applyFill="1" applyAlignment="1">
      <alignment horizontal="left"/>
    </xf>
    <xf numFmtId="171" fontId="6" fillId="3" borderId="0" xfId="0" applyNumberFormat="1" applyFont="1" applyFill="1"/>
    <xf numFmtId="0" fontId="21" fillId="0" borderId="82" xfId="0" applyFont="1" applyBorder="1" applyAlignment="1">
      <alignment horizontal="left" vertical="center" wrapText="1"/>
    </xf>
    <xf numFmtId="0" fontId="25" fillId="15" borderId="21" xfId="0" applyFont="1" applyFill="1" applyBorder="1" applyAlignment="1">
      <alignment vertical="center" wrapText="1"/>
    </xf>
    <xf numFmtId="0" fontId="21" fillId="0" borderId="27" xfId="0" applyFont="1" applyBorder="1" applyAlignment="1">
      <alignment vertical="center"/>
    </xf>
    <xf numFmtId="0" fontId="23" fillId="0" borderId="0" xfId="0" applyFont="1" applyAlignment="1">
      <alignment horizontal="left" vertical="center" wrapText="1"/>
    </xf>
    <xf numFmtId="0" fontId="21" fillId="0" borderId="20" xfId="0" applyFont="1" applyBorder="1" applyAlignment="1">
      <alignment horizontal="center" vertical="center" wrapText="1"/>
    </xf>
    <xf numFmtId="0" fontId="30" fillId="15" borderId="21" xfId="1" applyNumberFormat="1" applyFont="1" applyFill="1" applyBorder="1" applyAlignment="1">
      <alignment vertical="top" wrapText="1"/>
    </xf>
    <xf numFmtId="0" fontId="25" fillId="15" borderId="21" xfId="1" applyNumberFormat="1" applyFont="1" applyFill="1" applyBorder="1" applyAlignment="1">
      <alignment vertical="top" wrapText="1"/>
    </xf>
    <xf numFmtId="0" fontId="25" fillId="15" borderId="25" xfId="1" applyNumberFormat="1" applyFont="1" applyFill="1" applyBorder="1" applyAlignment="1">
      <alignment vertical="top" wrapText="1"/>
    </xf>
    <xf numFmtId="0" fontId="25" fillId="0" borderId="0" xfId="1" applyNumberFormat="1" applyFont="1" applyFill="1" applyBorder="1" applyAlignment="1">
      <alignment vertical="center" wrapText="1"/>
    </xf>
    <xf numFmtId="0" fontId="21" fillId="0" borderId="85" xfId="0" applyFont="1" applyBorder="1" applyAlignment="1">
      <alignment horizontal="center" vertical="center" wrapText="1"/>
    </xf>
    <xf numFmtId="0" fontId="25" fillId="15" borderId="82" xfId="0" applyFont="1" applyFill="1" applyBorder="1" applyAlignment="1">
      <alignment vertical="center" wrapText="1"/>
    </xf>
    <xf numFmtId="44" fontId="25" fillId="15" borderId="82" xfId="1" applyFont="1" applyFill="1" applyBorder="1" applyAlignment="1">
      <alignment horizontal="center" vertical="center" wrapText="1"/>
    </xf>
    <xf numFmtId="0" fontId="25" fillId="15" borderId="82" xfId="1" applyNumberFormat="1" applyFont="1" applyFill="1" applyBorder="1" applyAlignment="1">
      <alignment vertical="top" wrapText="1"/>
    </xf>
    <xf numFmtId="0" fontId="25" fillId="15" borderId="83" xfId="1" applyNumberFormat="1" applyFont="1" applyFill="1" applyBorder="1" applyAlignment="1">
      <alignment vertical="top" wrapText="1"/>
    </xf>
    <xf numFmtId="0" fontId="0" fillId="17" borderId="58" xfId="0" applyFill="1" applyBorder="1" applyAlignment="1">
      <alignment vertical="center"/>
    </xf>
    <xf numFmtId="0" fontId="0" fillId="17" borderId="94" xfId="0" applyFill="1" applyBorder="1" applyAlignment="1">
      <alignment vertical="center"/>
    </xf>
    <xf numFmtId="0" fontId="2" fillId="8" borderId="20" xfId="0" applyFont="1" applyFill="1"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24" fillId="0" borderId="20" xfId="0" applyFont="1" applyBorder="1" applyAlignment="1">
      <alignment horizontal="center" vertical="center" wrapText="1"/>
    </xf>
    <xf numFmtId="0" fontId="0" fillId="0" borderId="25" xfId="0" applyBorder="1" applyAlignment="1">
      <alignment vertical="center"/>
    </xf>
    <xf numFmtId="0" fontId="21" fillId="0" borderId="85" xfId="0" applyFont="1" applyBorder="1" applyAlignment="1">
      <alignment vertical="center"/>
    </xf>
    <xf numFmtId="0" fontId="21" fillId="0" borderId="99" xfId="0" applyFont="1" applyBorder="1" applyAlignment="1">
      <alignment vertical="center" wrapText="1"/>
    </xf>
    <xf numFmtId="0" fontId="0" fillId="0" borderId="9" xfId="7" applyFont="1" applyFill="1" applyBorder="1" applyAlignment="1">
      <alignment horizontal="center" vertical="center" wrapText="1"/>
    </xf>
    <xf numFmtId="0" fontId="8" fillId="0" borderId="9" xfId="4" applyFont="1" applyFill="1" applyBorder="1" applyAlignment="1">
      <alignment horizontal="center" vertical="center" wrapText="1"/>
    </xf>
    <xf numFmtId="0" fontId="1" fillId="0" borderId="9" xfId="7" applyFill="1" applyBorder="1" applyAlignment="1">
      <alignment horizontal="center" vertical="center" wrapText="1"/>
    </xf>
    <xf numFmtId="0" fontId="10" fillId="0" borderId="49" xfId="4" applyFont="1" applyFill="1" applyBorder="1" applyAlignment="1">
      <alignment horizontal="center" vertical="center" wrapText="1"/>
    </xf>
    <xf numFmtId="2" fontId="8" fillId="0" borderId="51" xfId="4" applyNumberFormat="1" applyFont="1" applyFill="1" applyBorder="1" applyAlignment="1">
      <alignment horizontal="center" vertical="center"/>
    </xf>
    <xf numFmtId="2" fontId="10" fillId="0" borderId="50" xfId="9" applyNumberFormat="1" applyFont="1" applyFill="1" applyBorder="1" applyAlignment="1">
      <alignment horizontal="center" vertical="center"/>
    </xf>
    <xf numFmtId="165" fontId="10" fillId="0" borderId="52" xfId="4" applyNumberFormat="1" applyFont="1" applyFill="1" applyBorder="1" applyAlignment="1">
      <alignment horizontal="center" vertical="center"/>
    </xf>
    <xf numFmtId="1" fontId="8" fillId="18" borderId="9" xfId="4" applyNumberFormat="1" applyFont="1" applyFill="1" applyBorder="1" applyAlignment="1">
      <alignment horizontal="center" vertical="center" wrapText="1"/>
    </xf>
    <xf numFmtId="165" fontId="10" fillId="12" borderId="52" xfId="4" applyNumberFormat="1" applyFont="1" applyFill="1" applyBorder="1" applyAlignment="1">
      <alignment horizontal="center" vertical="center"/>
    </xf>
    <xf numFmtId="166" fontId="0" fillId="0" borderId="103" xfId="0" applyNumberFormat="1" applyBorder="1"/>
    <xf numFmtId="166" fontId="0" fillId="0" borderId="104" xfId="0" applyNumberFormat="1" applyBorder="1"/>
    <xf numFmtId="166" fontId="0" fillId="0" borderId="95" xfId="0" applyNumberFormat="1" applyBorder="1"/>
    <xf numFmtId="166" fontId="2" fillId="8" borderId="14" xfId="0" applyNumberFormat="1" applyFont="1" applyFill="1" applyBorder="1" applyAlignment="1">
      <alignment vertical="center"/>
    </xf>
    <xf numFmtId="9" fontId="0" fillId="0" borderId="24" xfId="3" applyFont="1" applyBorder="1" applyAlignment="1">
      <alignment horizontal="center"/>
    </xf>
    <xf numFmtId="9" fontId="0" fillId="0" borderId="30" xfId="3" applyFont="1" applyBorder="1" applyAlignment="1">
      <alignment horizontal="center"/>
    </xf>
    <xf numFmtId="9" fontId="0" fillId="0" borderId="2" xfId="3" applyFont="1" applyBorder="1" applyAlignment="1">
      <alignment horizontal="center"/>
    </xf>
    <xf numFmtId="0" fontId="10" fillId="0" borderId="0" xfId="4" applyFont="1" applyBorder="1" applyAlignment="1">
      <alignment horizontal="center" vertical="center"/>
    </xf>
    <xf numFmtId="0" fontId="10" fillId="0" borderId="0" xfId="5" applyNumberFormat="1" applyFont="1" applyFill="1" applyBorder="1" applyAlignment="1">
      <alignment horizontal="center" vertical="center"/>
    </xf>
    <xf numFmtId="44" fontId="10" fillId="0" borderId="0" xfId="5" applyFont="1" applyFill="1" applyBorder="1" applyAlignment="1">
      <alignment horizontal="center" vertical="center"/>
    </xf>
    <xf numFmtId="0" fontId="28" fillId="0" borderId="27" xfId="0" applyFont="1" applyBorder="1" applyAlignment="1">
      <alignment vertical="center"/>
    </xf>
    <xf numFmtId="44" fontId="27" fillId="0" borderId="29" xfId="1" applyFont="1" applyBorder="1" applyAlignment="1">
      <alignment horizontal="center" vertical="center"/>
    </xf>
    <xf numFmtId="0" fontId="4" fillId="0" borderId="27" xfId="0" applyFont="1" applyBorder="1"/>
    <xf numFmtId="44" fontId="12" fillId="0" borderId="26" xfId="0" applyNumberFormat="1" applyFont="1" applyBorder="1" applyAlignment="1">
      <alignment vertical="center"/>
    </xf>
    <xf numFmtId="165" fontId="10" fillId="0" borderId="49" xfId="4" applyNumberFormat="1" applyFont="1" applyFill="1" applyBorder="1" applyAlignment="1">
      <alignment horizontal="center" vertical="center"/>
    </xf>
    <xf numFmtId="0" fontId="0" fillId="0" borderId="0" xfId="7" applyFont="1" applyBorder="1" applyAlignment="1">
      <alignment horizontal="center" vertical="center" wrapText="1"/>
    </xf>
    <xf numFmtId="0" fontId="25" fillId="0" borderId="0" xfId="0" applyFont="1" applyBorder="1" applyAlignment="1">
      <alignment horizontal="left" vertical="center" wrapText="1"/>
    </xf>
    <xf numFmtId="0" fontId="0" fillId="0" borderId="0" xfId="0" applyBorder="1"/>
    <xf numFmtId="0" fontId="23" fillId="0" borderId="0" xfId="0" applyFont="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2" borderId="0" xfId="0" applyFont="1" applyFill="1" applyBorder="1" applyAlignment="1">
      <alignment horizontal="center" vertical="center"/>
    </xf>
    <xf numFmtId="0" fontId="24" fillId="0" borderId="10" xfId="0" applyFont="1" applyBorder="1" applyAlignment="1">
      <alignment vertical="center" wrapText="1"/>
    </xf>
    <xf numFmtId="0" fontId="24" fillId="0" borderId="8" xfId="0" applyFont="1" applyBorder="1" applyAlignment="1">
      <alignment vertical="center" wrapText="1"/>
    </xf>
    <xf numFmtId="0" fontId="24" fillId="0" borderId="37" xfId="0" applyFont="1" applyBorder="1" applyAlignment="1">
      <alignment vertical="center" wrapText="1"/>
    </xf>
    <xf numFmtId="0" fontId="24" fillId="0" borderId="13" xfId="0" applyFont="1" applyBorder="1" applyAlignment="1">
      <alignment vertical="center" wrapText="1"/>
    </xf>
    <xf numFmtId="0" fontId="23" fillId="0" borderId="2" xfId="0" applyFont="1" applyBorder="1" applyAlignment="1">
      <alignment vertical="center"/>
    </xf>
    <xf numFmtId="165" fontId="8" fillId="0" borderId="0" xfId="3" applyNumberFormat="1" applyFont="1" applyAlignment="1">
      <alignment horizontal="center" vertical="center" wrapText="1"/>
    </xf>
    <xf numFmtId="165" fontId="8" fillId="0" borderId="0" xfId="3" applyNumberFormat="1" applyFont="1" applyAlignment="1">
      <alignment horizontal="center" vertical="center" wrapText="1"/>
    </xf>
    <xf numFmtId="0" fontId="8" fillId="0" borderId="49" xfId="4" applyFont="1" applyFill="1" applyBorder="1" applyAlignment="1">
      <alignment horizontal="left" vertical="center"/>
    </xf>
    <xf numFmtId="0" fontId="10" fillId="0" borderId="74" xfId="4" applyFont="1" applyBorder="1" applyAlignment="1">
      <alignment horizontal="center" vertical="center" wrapText="1"/>
    </xf>
    <xf numFmtId="0" fontId="10" fillId="0" borderId="52" xfId="4" applyFont="1" applyFill="1" applyBorder="1" applyAlignment="1">
      <alignment horizontal="center" vertical="center" wrapText="1"/>
    </xf>
    <xf numFmtId="2" fontId="10" fillId="0" borderId="51" xfId="4" applyNumberFormat="1" applyFont="1" applyFill="1" applyBorder="1" applyAlignment="1">
      <alignment horizontal="center" vertical="center"/>
    </xf>
    <xf numFmtId="165" fontId="8" fillId="0" borderId="49" xfId="4" applyNumberFormat="1" applyFont="1" applyFill="1" applyBorder="1" applyAlignment="1">
      <alignment horizontal="center" vertical="center"/>
    </xf>
    <xf numFmtId="165" fontId="8" fillId="0" borderId="49" xfId="4" applyNumberFormat="1" applyFont="1" applyFill="1" applyBorder="1" applyAlignment="1">
      <alignment horizontal="center" vertical="center" wrapText="1"/>
    </xf>
    <xf numFmtId="1" fontId="10" fillId="0" borderId="49" xfId="4" applyNumberFormat="1" applyFont="1" applyFill="1" applyBorder="1" applyAlignment="1">
      <alignment horizontal="center" vertical="center" wrapText="1"/>
    </xf>
    <xf numFmtId="0" fontId="10" fillId="0" borderId="0" xfId="4" applyFont="1" applyFill="1" applyAlignment="1">
      <alignment horizontal="center" vertical="center"/>
    </xf>
    <xf numFmtId="0" fontId="8" fillId="0" borderId="0" xfId="4" applyFont="1" applyFill="1" applyAlignment="1">
      <alignment horizontal="center" vertical="center"/>
    </xf>
    <xf numFmtId="0" fontId="10" fillId="0" borderId="9" xfId="4" applyFont="1" applyFill="1" applyBorder="1" applyAlignment="1">
      <alignment horizontal="center" vertical="center"/>
    </xf>
    <xf numFmtId="0" fontId="5" fillId="7" borderId="14"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11" xfId="0" applyFont="1" applyFill="1" applyBorder="1" applyAlignment="1">
      <alignment horizontal="center" vertical="center"/>
    </xf>
    <xf numFmtId="0" fontId="6" fillId="8" borderId="14" xfId="0" applyFont="1" applyFill="1" applyBorder="1" applyAlignment="1">
      <alignment horizontal="right" vertical="center"/>
    </xf>
    <xf numFmtId="0" fontId="6" fillId="8" borderId="15" xfId="0" applyFont="1" applyFill="1" applyBorder="1" applyAlignment="1">
      <alignment horizontal="right" vertical="center"/>
    </xf>
    <xf numFmtId="0" fontId="7" fillId="0" borderId="39" xfId="4" applyFont="1" applyBorder="1" applyAlignment="1">
      <alignment horizontal="right" wrapText="1"/>
    </xf>
    <xf numFmtId="0" fontId="8" fillId="0" borderId="40" xfId="4" applyFont="1" applyBorder="1" applyAlignment="1">
      <alignment horizontal="right" wrapText="1"/>
    </xf>
    <xf numFmtId="0" fontId="8" fillId="0" borderId="41" xfId="4" applyFont="1" applyBorder="1" applyAlignment="1">
      <alignment horizontal="right" wrapText="1"/>
    </xf>
    <xf numFmtId="0" fontId="8" fillId="0" borderId="6" xfId="4" applyFont="1" applyBorder="1" applyAlignment="1">
      <alignment horizontal="right" wrapText="1"/>
    </xf>
    <xf numFmtId="0" fontId="8" fillId="0" borderId="0" xfId="4" applyFont="1" applyAlignment="1">
      <alignment horizontal="right" wrapText="1"/>
    </xf>
    <xf numFmtId="0" fontId="8" fillId="0" borderId="43" xfId="4" applyFont="1" applyBorder="1" applyAlignment="1">
      <alignment horizontal="right" wrapText="1"/>
    </xf>
    <xf numFmtId="0" fontId="8" fillId="0" borderId="7" xfId="4" applyFont="1" applyBorder="1" applyAlignment="1">
      <alignment horizontal="right" wrapText="1"/>
    </xf>
    <xf numFmtId="0" fontId="8" fillId="0" borderId="45" xfId="4" applyFont="1" applyBorder="1" applyAlignment="1">
      <alignment horizontal="right" wrapText="1"/>
    </xf>
    <xf numFmtId="0" fontId="8" fillId="0" borderId="46" xfId="4" applyFont="1" applyBorder="1" applyAlignment="1">
      <alignment horizontal="right" wrapText="1"/>
    </xf>
    <xf numFmtId="0" fontId="9" fillId="0" borderId="42" xfId="4" applyFont="1" applyBorder="1" applyAlignment="1">
      <alignment horizontal="center" vertical="center" wrapText="1"/>
    </xf>
    <xf numFmtId="0" fontId="9" fillId="0" borderId="40" xfId="4" applyFont="1" applyBorder="1" applyAlignment="1">
      <alignment horizontal="center" vertical="center" wrapText="1"/>
    </xf>
    <xf numFmtId="0" fontId="9" fillId="0" borderId="44" xfId="4" applyFont="1" applyBorder="1" applyAlignment="1">
      <alignment horizontal="center" vertical="center" wrapText="1"/>
    </xf>
    <xf numFmtId="0" fontId="9" fillId="0" borderId="0" xfId="4" applyFont="1" applyAlignment="1">
      <alignment horizontal="center" vertical="center" wrapText="1"/>
    </xf>
    <xf numFmtId="0" fontId="9" fillId="0" borderId="41" xfId="4" applyFont="1" applyBorder="1" applyAlignment="1">
      <alignment horizontal="center" vertical="center" wrapText="1"/>
    </xf>
    <xf numFmtId="0" fontId="9" fillId="0" borderId="43" xfId="4" applyFont="1" applyBorder="1" applyAlignment="1">
      <alignment horizontal="center" vertical="center" wrapText="1"/>
    </xf>
    <xf numFmtId="0" fontId="9" fillId="0" borderId="45" xfId="4" applyFont="1" applyBorder="1" applyAlignment="1">
      <alignment horizontal="center" vertical="center" wrapText="1"/>
    </xf>
    <xf numFmtId="0" fontId="9" fillId="0" borderId="46" xfId="4" applyFont="1" applyBorder="1" applyAlignment="1">
      <alignment horizontal="center" vertical="center" wrapText="1"/>
    </xf>
    <xf numFmtId="0" fontId="8" fillId="0" borderId="47" xfId="4" applyFont="1" applyBorder="1" applyAlignment="1">
      <alignment horizontal="center" vertical="center" wrapText="1"/>
    </xf>
    <xf numFmtId="0" fontId="8" fillId="0" borderId="45" xfId="4" applyFont="1" applyBorder="1" applyAlignment="1">
      <alignment horizontal="center" vertical="center" wrapText="1"/>
    </xf>
    <xf numFmtId="0" fontId="8" fillId="11" borderId="52" xfId="4" applyFont="1" applyFill="1" applyBorder="1" applyAlignment="1">
      <alignment horizontal="center" vertical="center" wrapText="1"/>
    </xf>
    <xf numFmtId="0" fontId="8" fillId="11" borderId="51" xfId="4" applyFont="1" applyFill="1" applyBorder="1" applyAlignment="1">
      <alignment horizontal="center" vertical="center" wrapText="1"/>
    </xf>
    <xf numFmtId="165" fontId="8" fillId="0" borderId="53" xfId="4" applyNumberFormat="1" applyFont="1" applyFill="1" applyBorder="1" applyAlignment="1">
      <alignment horizontal="center" vertical="center" wrapText="1"/>
    </xf>
    <xf numFmtId="165" fontId="8" fillId="0" borderId="79" xfId="4" applyNumberFormat="1" applyFont="1" applyFill="1" applyBorder="1" applyAlignment="1">
      <alignment horizontal="center" vertical="center" wrapText="1"/>
    </xf>
    <xf numFmtId="165" fontId="8" fillId="0" borderId="0" xfId="3" applyNumberFormat="1" applyFont="1" applyAlignment="1">
      <alignment horizontal="center" vertical="center" wrapText="1"/>
    </xf>
    <xf numFmtId="0" fontId="10" fillId="0" borderId="69" xfId="4" applyFont="1" applyBorder="1" applyAlignment="1">
      <alignment horizontal="center" vertical="center" wrapText="1"/>
    </xf>
    <xf numFmtId="0" fontId="10" fillId="0" borderId="74" xfId="4" applyFont="1" applyBorder="1" applyAlignment="1">
      <alignment horizontal="center" vertical="center" wrapText="1"/>
    </xf>
    <xf numFmtId="0" fontId="8" fillId="11" borderId="55" xfId="4" applyFont="1" applyFill="1" applyBorder="1" applyAlignment="1">
      <alignment horizontal="center" vertical="center" wrapText="1"/>
    </xf>
    <xf numFmtId="0" fontId="8" fillId="11" borderId="54" xfId="4" applyFont="1" applyFill="1" applyBorder="1" applyAlignment="1">
      <alignment horizontal="center" vertical="center" wrapText="1"/>
    </xf>
    <xf numFmtId="0" fontId="9" fillId="11" borderId="52" xfId="4" applyFont="1" applyFill="1" applyBorder="1" applyAlignment="1">
      <alignment horizontal="center" vertical="center"/>
    </xf>
    <xf numFmtId="0" fontId="9" fillId="11" borderId="51" xfId="4" applyFont="1" applyFill="1" applyBorder="1" applyAlignment="1">
      <alignment horizontal="center" vertical="center"/>
    </xf>
    <xf numFmtId="0" fontId="13" fillId="11" borderId="16" xfId="4" applyFont="1" applyFill="1" applyBorder="1" applyAlignment="1">
      <alignment horizontal="center" vertical="center" wrapText="1"/>
    </xf>
    <xf numFmtId="0" fontId="13" fillId="11" borderId="17" xfId="4" applyFont="1" applyFill="1" applyBorder="1" applyAlignment="1">
      <alignment horizontal="center" vertical="center" wrapText="1"/>
    </xf>
    <xf numFmtId="0" fontId="9" fillId="11" borderId="52" xfId="4" applyFont="1" applyFill="1" applyBorder="1" applyAlignment="1">
      <alignment horizontal="center" vertical="center" wrapText="1"/>
    </xf>
    <xf numFmtId="0" fontId="9" fillId="11" borderId="51" xfId="4" applyFont="1" applyFill="1" applyBorder="1" applyAlignment="1">
      <alignment horizontal="center" vertical="center" wrapText="1"/>
    </xf>
    <xf numFmtId="0" fontId="9" fillId="0" borderId="52" xfId="4" applyFont="1" applyFill="1" applyBorder="1" applyAlignment="1">
      <alignment horizontal="center" vertical="center" wrapText="1"/>
    </xf>
    <xf numFmtId="0" fontId="9" fillId="0" borderId="51" xfId="4" applyFont="1" applyFill="1" applyBorder="1" applyAlignment="1">
      <alignment horizontal="center" vertical="center" wrapText="1"/>
    </xf>
    <xf numFmtId="0" fontId="21" fillId="0" borderId="87" xfId="0" applyFont="1" applyBorder="1" applyAlignment="1">
      <alignment horizontal="left" vertical="top" wrapText="1"/>
    </xf>
    <xf numFmtId="0" fontId="21" fillId="0" borderId="22" xfId="0" applyFont="1" applyBorder="1" applyAlignment="1">
      <alignment horizontal="left" vertical="top" wrapText="1"/>
    </xf>
    <xf numFmtId="0" fontId="21" fillId="0" borderId="12" xfId="0" applyFont="1" applyBorder="1" applyAlignment="1">
      <alignment horizontal="left" vertical="top" wrapText="1"/>
    </xf>
    <xf numFmtId="0" fontId="21" fillId="0" borderId="98" xfId="0" applyFont="1" applyBorder="1" applyAlignment="1">
      <alignment horizontal="left" vertical="top" wrapText="1"/>
    </xf>
    <xf numFmtId="0" fontId="21" fillId="0" borderId="38" xfId="0" applyFont="1" applyBorder="1" applyAlignment="1">
      <alignment horizontal="left" vertical="top" wrapText="1"/>
    </xf>
    <xf numFmtId="0" fontId="21" fillId="0" borderId="13" xfId="0" applyFont="1" applyBorder="1" applyAlignment="1">
      <alignment horizontal="left" vertical="top" wrapText="1"/>
    </xf>
    <xf numFmtId="0" fontId="22" fillId="2" borderId="14"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4" fillId="0" borderId="18" xfId="0" applyFont="1" applyBorder="1" applyAlignment="1">
      <alignment horizontal="left" vertical="center" wrapText="1"/>
    </xf>
    <xf numFmtId="0" fontId="24" fillId="0" borderId="15" xfId="0" applyFont="1" applyBorder="1" applyAlignment="1">
      <alignment horizontal="left" vertical="center" wrapText="1"/>
    </xf>
    <xf numFmtId="0" fontId="24" fillId="0" borderId="11" xfId="0" applyFont="1" applyBorder="1" applyAlignment="1">
      <alignment horizontal="left" vertical="center" wrapText="1"/>
    </xf>
    <xf numFmtId="0" fontId="21" fillId="0" borderId="28" xfId="0" applyFont="1" applyBorder="1" applyAlignment="1">
      <alignment horizontal="left" vertical="top" wrapText="1"/>
    </xf>
    <xf numFmtId="0" fontId="21" fillId="0" borderId="28" xfId="0" applyFont="1" applyBorder="1" applyAlignment="1">
      <alignment horizontal="left" vertical="top"/>
    </xf>
    <xf numFmtId="0" fontId="21" fillId="0" borderId="26" xfId="0" applyFont="1" applyBorder="1" applyAlignment="1">
      <alignment horizontal="left" vertical="top"/>
    </xf>
    <xf numFmtId="0" fontId="21" fillId="0" borderId="9" xfId="0" applyFont="1" applyBorder="1" applyAlignment="1">
      <alignment horizontal="left" vertical="center" wrapText="1"/>
    </xf>
    <xf numFmtId="0" fontId="21" fillId="0" borderId="9" xfId="0" applyFont="1" applyBorder="1" applyAlignment="1">
      <alignment horizontal="left" vertical="center"/>
    </xf>
    <xf numFmtId="0" fontId="21" fillId="0" borderId="80" xfId="0" applyFont="1" applyBorder="1" applyAlignment="1">
      <alignment horizontal="left" vertical="center"/>
    </xf>
    <xf numFmtId="0" fontId="25" fillId="0" borderId="88" xfId="0" applyFont="1" applyBorder="1" applyAlignment="1">
      <alignment horizontal="left" vertical="center" wrapText="1"/>
    </xf>
    <xf numFmtId="0" fontId="25" fillId="0" borderId="90" xfId="0" applyFont="1" applyBorder="1" applyAlignment="1">
      <alignment horizontal="left"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4" fillId="17" borderId="23" xfId="0" applyFont="1" applyFill="1" applyBorder="1" applyAlignment="1">
      <alignment horizontal="center" vertical="center" wrapText="1"/>
    </xf>
    <xf numFmtId="0" fontId="24" fillId="17" borderId="89" xfId="0" applyFont="1" applyFill="1" applyBorder="1" applyAlignment="1">
      <alignment horizontal="center" vertical="center" wrapText="1"/>
    </xf>
    <xf numFmtId="0" fontId="23" fillId="2" borderId="22" xfId="0" applyFont="1" applyFill="1" applyBorder="1" applyAlignment="1">
      <alignment horizontal="left" vertical="center" wrapText="1"/>
    </xf>
    <xf numFmtId="0" fontId="24" fillId="0" borderId="36" xfId="0" applyFont="1" applyBorder="1" applyAlignment="1">
      <alignment horizontal="left" vertical="center" wrapText="1"/>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8" xfId="0" applyFont="1" applyBorder="1" applyAlignment="1">
      <alignment horizontal="left" vertical="center" wrapText="1"/>
    </xf>
    <xf numFmtId="0" fontId="24" fillId="0" borderId="37" xfId="0" applyFont="1" applyBorder="1" applyAlignment="1">
      <alignment horizontal="left" vertical="center" wrapText="1"/>
    </xf>
    <xf numFmtId="0" fontId="24" fillId="0" borderId="13" xfId="0" applyFont="1" applyBorder="1" applyAlignment="1">
      <alignment horizontal="left" vertical="center" wrapText="1"/>
    </xf>
    <xf numFmtId="0" fontId="23" fillId="0" borderId="2" xfId="0" applyFont="1" applyBorder="1" applyAlignment="1">
      <alignment horizontal="center" vertical="center"/>
    </xf>
    <xf numFmtId="0" fontId="24" fillId="17" borderId="99" xfId="0" applyFont="1" applyFill="1" applyBorder="1" applyAlignment="1">
      <alignment horizontal="center" vertical="center" wrapText="1"/>
    </xf>
    <xf numFmtId="0" fontId="24" fillId="17" borderId="19" xfId="0" applyFont="1" applyFill="1" applyBorder="1" applyAlignment="1">
      <alignment horizontal="center" vertical="center" wrapText="1"/>
    </xf>
    <xf numFmtId="0" fontId="24" fillId="0" borderId="99" xfId="0" applyFont="1" applyBorder="1" applyAlignment="1">
      <alignment horizontal="left" vertical="center" wrapText="1"/>
    </xf>
    <xf numFmtId="0" fontId="24" fillId="0" borderId="19" xfId="0" applyFont="1" applyBorder="1" applyAlignment="1">
      <alignment horizontal="left" vertical="center" wrapText="1"/>
    </xf>
    <xf numFmtId="0" fontId="24" fillId="0" borderId="22" xfId="0" applyFont="1" applyBorder="1" applyAlignment="1">
      <alignment horizontal="left" vertical="center" wrapText="1"/>
    </xf>
    <xf numFmtId="0" fontId="21" fillId="0" borderId="28" xfId="0" applyFont="1" applyBorder="1" applyAlignment="1">
      <alignment horizontal="left" vertical="center" wrapText="1"/>
    </xf>
    <xf numFmtId="0" fontId="21" fillId="0" borderId="28" xfId="0" applyFont="1" applyBorder="1" applyAlignment="1">
      <alignment horizontal="left" vertical="center"/>
    </xf>
    <xf numFmtId="0" fontId="21" fillId="0" borderId="26" xfId="0" applyFont="1" applyBorder="1" applyAlignment="1">
      <alignment horizontal="left" vertical="center"/>
    </xf>
    <xf numFmtId="0" fontId="23" fillId="16" borderId="58" xfId="0" applyFont="1" applyFill="1" applyBorder="1" applyAlignment="1">
      <alignment horizontal="left" vertical="center" wrapText="1"/>
    </xf>
    <xf numFmtId="0" fontId="23" fillId="16" borderId="59" xfId="0" applyFont="1" applyFill="1" applyBorder="1" applyAlignment="1">
      <alignment horizontal="left" vertical="center" wrapText="1"/>
    </xf>
    <xf numFmtId="0" fontId="21" fillId="0" borderId="29" xfId="0" applyFont="1" applyBorder="1" applyAlignment="1">
      <alignment horizontal="left" vertical="center" wrapText="1"/>
    </xf>
    <xf numFmtId="0" fontId="21" fillId="0" borderId="84" xfId="0" applyFont="1" applyBorder="1" applyAlignment="1">
      <alignment horizontal="left" vertical="center" wrapText="1"/>
    </xf>
    <xf numFmtId="0" fontId="21" fillId="0" borderId="92" xfId="0" applyFont="1" applyBorder="1" applyAlignment="1">
      <alignment horizontal="left" vertical="center" wrapText="1"/>
    </xf>
    <xf numFmtId="0" fontId="23" fillId="16" borderId="94" xfId="0" applyFont="1" applyFill="1" applyBorder="1" applyAlignment="1">
      <alignment horizontal="left" vertical="center" wrapText="1"/>
    </xf>
    <xf numFmtId="0" fontId="21" fillId="0" borderId="58" xfId="0" applyFont="1" applyBorder="1" applyAlignment="1">
      <alignment horizontal="center" vertical="center"/>
    </xf>
    <xf numFmtId="0" fontId="21" fillId="0" borderId="91" xfId="0" applyFont="1" applyBorder="1" applyAlignment="1">
      <alignment horizontal="center" vertical="center"/>
    </xf>
    <xf numFmtId="0" fontId="21" fillId="0" borderId="93" xfId="0" applyFont="1" applyBorder="1" applyAlignment="1">
      <alignment horizontal="center" vertical="center"/>
    </xf>
    <xf numFmtId="0" fontId="23" fillId="0" borderId="87" xfId="0" applyFont="1" applyBorder="1" applyAlignment="1">
      <alignment horizontal="left" vertical="top" wrapText="1"/>
    </xf>
    <xf numFmtId="0" fontId="23" fillId="0" borderId="22" xfId="0" applyFont="1" applyBorder="1" applyAlignment="1">
      <alignment horizontal="left" vertical="top" wrapText="1"/>
    </xf>
    <xf numFmtId="0" fontId="23" fillId="0" borderId="12" xfId="0" applyFont="1" applyBorder="1" applyAlignment="1">
      <alignment horizontal="left" vertical="top" wrapText="1"/>
    </xf>
    <xf numFmtId="0" fontId="23" fillId="0" borderId="96" xfId="0" applyFont="1" applyBorder="1" applyAlignment="1">
      <alignment horizontal="left" vertical="top" wrapText="1"/>
    </xf>
    <xf numFmtId="0" fontId="23" fillId="0" borderId="0" xfId="0" applyFont="1" applyAlignment="1">
      <alignment horizontal="left" vertical="top" wrapText="1"/>
    </xf>
    <xf numFmtId="0" fontId="23" fillId="0" borderId="8" xfId="0" applyFont="1" applyBorder="1" applyAlignment="1">
      <alignment horizontal="left" vertical="top" wrapText="1"/>
    </xf>
    <xf numFmtId="0" fontId="23" fillId="0" borderId="98" xfId="0" applyFont="1" applyBorder="1" applyAlignment="1">
      <alignment horizontal="left" vertical="top" wrapText="1"/>
    </xf>
    <xf numFmtId="0" fontId="23" fillId="0" borderId="38" xfId="0" applyFont="1" applyBorder="1" applyAlignment="1">
      <alignment horizontal="left" vertical="top" wrapText="1"/>
    </xf>
    <xf numFmtId="0" fontId="23" fillId="0" borderId="13" xfId="0" applyFont="1" applyBorder="1" applyAlignment="1">
      <alignment horizontal="left" vertical="top" wrapText="1"/>
    </xf>
    <xf numFmtId="0" fontId="23" fillId="0" borderId="58" xfId="0" applyFont="1" applyBorder="1" applyAlignment="1">
      <alignment horizontal="center" vertical="center"/>
    </xf>
    <xf numFmtId="0" fontId="23" fillId="0" borderId="91" xfId="0" applyFont="1" applyBorder="1" applyAlignment="1">
      <alignment horizontal="center" vertical="center"/>
    </xf>
    <xf numFmtId="0" fontId="23" fillId="0" borderId="27" xfId="0" applyFont="1" applyBorder="1" applyAlignment="1">
      <alignment horizontal="center" vertical="center"/>
    </xf>
    <xf numFmtId="0" fontId="21" fillId="0" borderId="96" xfId="0" applyFont="1" applyBorder="1" applyAlignment="1">
      <alignment horizontal="left" vertical="top" wrapText="1"/>
    </xf>
    <xf numFmtId="0" fontId="21" fillId="0" borderId="0" xfId="0" applyFont="1" applyAlignment="1">
      <alignment horizontal="left" vertical="top" wrapText="1"/>
    </xf>
    <xf numFmtId="0" fontId="21" fillId="0" borderId="8" xfId="0" applyFont="1" applyBorder="1" applyAlignment="1">
      <alignment horizontal="left" vertical="top" wrapText="1"/>
    </xf>
    <xf numFmtId="0" fontId="21" fillId="0" borderId="29" xfId="0" applyFont="1" applyBorder="1" applyAlignment="1">
      <alignment horizontal="left" vertical="top" wrapText="1"/>
    </xf>
    <xf numFmtId="0" fontId="21" fillId="0" borderId="84" xfId="0" applyFont="1" applyBorder="1" applyAlignment="1">
      <alignment horizontal="left" vertical="top" wrapText="1"/>
    </xf>
    <xf numFmtId="0" fontId="21" fillId="0" borderId="92" xfId="0" applyFont="1" applyBorder="1" applyAlignment="1">
      <alignment horizontal="left" vertical="top" wrapText="1"/>
    </xf>
    <xf numFmtId="0" fontId="23" fillId="0" borderId="33" xfId="0" applyFont="1" applyBorder="1" applyAlignment="1">
      <alignment horizontal="center" vertical="center"/>
    </xf>
    <xf numFmtId="0" fontId="23" fillId="16" borderId="14" xfId="0" applyFont="1" applyFill="1" applyBorder="1" applyAlignment="1">
      <alignment horizontal="left" vertical="center" wrapText="1"/>
    </xf>
    <xf numFmtId="0" fontId="23" fillId="16" borderId="15" xfId="0" applyFont="1" applyFill="1" applyBorder="1" applyAlignment="1">
      <alignment horizontal="left" vertical="center" wrapText="1"/>
    </xf>
    <xf numFmtId="0" fontId="23" fillId="16" borderId="11" xfId="0" applyFont="1" applyFill="1" applyBorder="1" applyAlignment="1">
      <alignment horizontal="left" vertical="center" wrapText="1"/>
    </xf>
    <xf numFmtId="0" fontId="21" fillId="0" borderId="97" xfId="0" applyFont="1" applyBorder="1" applyAlignment="1">
      <alignment horizontal="left" vertical="center"/>
    </xf>
    <xf numFmtId="0" fontId="21" fillId="0" borderId="100" xfId="0" applyFont="1" applyBorder="1" applyAlignment="1">
      <alignment horizontal="left" vertical="center"/>
    </xf>
    <xf numFmtId="0" fontId="23" fillId="0" borderId="93" xfId="0" applyFont="1" applyBorder="1" applyAlignment="1">
      <alignment horizontal="center" vertical="center"/>
    </xf>
    <xf numFmtId="0" fontId="24" fillId="15" borderId="59" xfId="0" applyFont="1" applyFill="1" applyBorder="1" applyAlignment="1">
      <alignment vertical="center" wrapText="1"/>
    </xf>
    <xf numFmtId="0" fontId="24" fillId="15" borderId="94" xfId="0" applyFont="1" applyFill="1" applyBorder="1" applyAlignment="1">
      <alignment vertical="center" wrapText="1"/>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5" xfId="0" applyFont="1" applyBorder="1" applyAlignment="1">
      <alignment horizontal="left" vertical="top"/>
    </xf>
    <xf numFmtId="0" fontId="21" fillId="0" borderId="101" xfId="0" applyFont="1" applyBorder="1" applyAlignment="1">
      <alignment horizontal="left" vertical="top"/>
    </xf>
    <xf numFmtId="0" fontId="21" fillId="0" borderId="102" xfId="0" applyFont="1" applyBorder="1" applyAlignment="1">
      <alignment horizontal="left" vertical="top"/>
    </xf>
    <xf numFmtId="0" fontId="21" fillId="0" borderId="96" xfId="0" applyFont="1" applyBorder="1" applyAlignment="1">
      <alignment horizontal="left" vertical="top"/>
    </xf>
    <xf numFmtId="0" fontId="21" fillId="0" borderId="0" xfId="0" applyFont="1" applyAlignment="1">
      <alignment horizontal="left" vertical="top"/>
    </xf>
    <xf numFmtId="0" fontId="21" fillId="0" borderId="8" xfId="0" applyFont="1" applyBorder="1" applyAlignment="1">
      <alignment horizontal="left" vertical="top"/>
    </xf>
    <xf numFmtId="0" fontId="21" fillId="0" borderId="29" xfId="0" applyFont="1" applyBorder="1" applyAlignment="1">
      <alignment horizontal="left" vertical="top"/>
    </xf>
    <xf numFmtId="0" fontId="21" fillId="0" borderId="84" xfId="0" applyFont="1" applyBorder="1" applyAlignment="1">
      <alignment horizontal="left" vertical="top"/>
    </xf>
    <xf numFmtId="0" fontId="21" fillId="0" borderId="92" xfId="0" applyFont="1" applyBorder="1" applyAlignment="1">
      <alignment horizontal="left" vertical="top"/>
    </xf>
    <xf numFmtId="0" fontId="26" fillId="6" borderId="14" xfId="0" applyFont="1" applyFill="1" applyBorder="1" applyAlignment="1">
      <alignment horizontal="left" vertical="center" wrapText="1"/>
    </xf>
    <xf numFmtId="0" fontId="26" fillId="6" borderId="15" xfId="0" applyFont="1" applyFill="1" applyBorder="1" applyAlignment="1">
      <alignment horizontal="left" vertical="center" wrapText="1"/>
    </xf>
    <xf numFmtId="0" fontId="26" fillId="6" borderId="11" xfId="0" applyFont="1" applyFill="1" applyBorder="1" applyAlignment="1">
      <alignment horizontal="left" vertical="center" wrapText="1"/>
    </xf>
    <xf numFmtId="49" fontId="2" fillId="0" borderId="34" xfId="7" applyNumberFormat="1" applyFont="1" applyBorder="1" applyAlignment="1">
      <alignment horizontal="center" vertical="center"/>
    </xf>
    <xf numFmtId="49" fontId="2" fillId="0" borderId="63" xfId="7" applyNumberFormat="1" applyFont="1" applyBorder="1" applyAlignment="1">
      <alignment horizontal="center" vertical="center"/>
    </xf>
    <xf numFmtId="0" fontId="20" fillId="0" borderId="34" xfId="7" applyFont="1" applyBorder="1" applyAlignment="1">
      <alignment horizontal="left" vertical="center"/>
    </xf>
    <xf numFmtId="0" fontId="20" fillId="0" borderId="63" xfId="7" applyFont="1" applyBorder="1" applyAlignment="1">
      <alignment horizontal="left" vertical="center"/>
    </xf>
    <xf numFmtId="0" fontId="20" fillId="0" borderId="28" xfId="7" applyFont="1" applyBorder="1" applyAlignment="1">
      <alignment horizontal="left" vertical="center"/>
    </xf>
    <xf numFmtId="0" fontId="2" fillId="0" borderId="9" xfId="7" applyFont="1" applyBorder="1" applyAlignment="1">
      <alignment horizontal="center" vertical="center"/>
    </xf>
    <xf numFmtId="0" fontId="2" fillId="0" borderId="61" xfId="7" applyFont="1" applyBorder="1" applyAlignment="1">
      <alignment horizontal="center" vertical="center"/>
    </xf>
    <xf numFmtId="0" fontId="2" fillId="0" borderId="62" xfId="7" applyFont="1" applyBorder="1" applyAlignment="1">
      <alignment horizontal="center" vertical="center"/>
    </xf>
    <xf numFmtId="49" fontId="2" fillId="0" borderId="9" xfId="7" applyNumberFormat="1" applyFont="1" applyBorder="1" applyAlignment="1">
      <alignment horizontal="center" vertical="center"/>
    </xf>
  </cellXfs>
  <cellStyles count="10">
    <cellStyle name="Comma 2" xfId="9" xr:uid="{0DC60068-2647-4271-BB07-F51FD234D8F3}"/>
    <cellStyle name="Currency" xfId="1" builtinId="4"/>
    <cellStyle name="Currency 2" xfId="6" xr:uid="{0B93F053-6399-4D51-9DE2-68D7ABD472EC}"/>
    <cellStyle name="Currency 5" xfId="5" xr:uid="{27C8DAE6-D6AE-460B-9050-FA5C0E3252B4}"/>
    <cellStyle name="Hyperlink" xfId="2" builtinId="8"/>
    <cellStyle name="Normal" xfId="0" builtinId="0"/>
    <cellStyle name="Normal 2 2 2" xfId="8" xr:uid="{B6938C1F-7066-4ABB-B0CF-9BD79DEC34C4}"/>
    <cellStyle name="Normal 3 2 2 3 3 2 2" xfId="4" xr:uid="{3B79F2CA-F699-44C0-8195-E4AA1CF8D907}"/>
    <cellStyle name="Normal 7 3 2 2" xfId="7" xr:uid="{D736D91C-937F-43E9-A31A-F5FCB9BD0A68}"/>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209921</xdr:colOff>
      <xdr:row>0</xdr:row>
      <xdr:rowOff>141567</xdr:rowOff>
    </xdr:from>
    <xdr:ext cx="1912181" cy="1174615"/>
    <xdr:pic>
      <xdr:nvPicPr>
        <xdr:cNvPr id="2" name="Picture 1">
          <a:extLst>
            <a:ext uri="{FF2B5EF4-FFF2-40B4-BE49-F238E27FC236}">
              <a16:creationId xmlns:a16="http://schemas.microsoft.com/office/drawing/2014/main" id="{78CEDDB5-A968-40F7-8177-4CEBE57F7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057" y="141567"/>
          <a:ext cx="1912181" cy="11746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whitecap.com/p/dayton-superior-5-bar-lock-coupler-56729/400201/13239301" TargetMode="External"/><Relationship Id="rId2" Type="http://schemas.openxmlformats.org/officeDocument/2006/relationships/hyperlink" Target="https://chasephipps.com/jahn-m70-limestone-repair-mortar/" TargetMode="External"/><Relationship Id="rId1" Type="http://schemas.openxmlformats.org/officeDocument/2006/relationships/hyperlink" Target="https://coastalone.com/masteremaco-n-400rs.html"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0267-F587-4645-8BDA-FD590DCEEB6B}">
  <dimension ref="B1:J13"/>
  <sheetViews>
    <sheetView zoomScaleNormal="100" workbookViewId="0">
      <selection activeCell="P8" sqref="P8"/>
    </sheetView>
  </sheetViews>
  <sheetFormatPr defaultRowHeight="15" x14ac:dyDescent="0.25"/>
  <cols>
    <col min="2" max="2" width="4.7109375" style="35" bestFit="1" customWidth="1"/>
    <col min="3" max="3" width="12.42578125" style="36" customWidth="1"/>
    <col min="4" max="4" width="51.7109375" customWidth="1"/>
    <col min="5" max="5" width="14.7109375" customWidth="1"/>
    <col min="6" max="6" width="14.5703125" customWidth="1"/>
    <col min="7" max="7" width="14.7109375" customWidth="1"/>
    <col min="8" max="8" width="15.85546875" style="36" customWidth="1"/>
    <col min="9" max="9" width="15.7109375" style="36" customWidth="1"/>
    <col min="10" max="10" width="18.85546875" customWidth="1"/>
  </cols>
  <sheetData>
    <row r="1" spans="2:10" ht="33" customHeight="1" thickBot="1" x14ac:dyDescent="0.3">
      <c r="B1" s="442" t="s">
        <v>9</v>
      </c>
      <c r="C1" s="443"/>
      <c r="D1" s="443"/>
      <c r="E1" s="443"/>
      <c r="F1" s="443"/>
      <c r="G1" s="443"/>
      <c r="H1" s="443"/>
      <c r="I1" s="443"/>
      <c r="J1" s="444"/>
    </row>
    <row r="2" spans="2:10" ht="30.75" thickBot="1" x14ac:dyDescent="0.3">
      <c r="B2" s="1" t="s">
        <v>10</v>
      </c>
      <c r="C2" s="2" t="s">
        <v>11</v>
      </c>
      <c r="D2" s="2" t="s">
        <v>12</v>
      </c>
      <c r="E2" s="4" t="s">
        <v>14</v>
      </c>
      <c r="F2" s="3" t="s">
        <v>13</v>
      </c>
      <c r="G2" s="5" t="s">
        <v>15</v>
      </c>
      <c r="H2" s="6" t="s">
        <v>16</v>
      </c>
      <c r="I2" s="6" t="s">
        <v>17</v>
      </c>
      <c r="J2" s="6" t="s">
        <v>18</v>
      </c>
    </row>
    <row r="3" spans="2:10" x14ac:dyDescent="0.25">
      <c r="B3" s="7">
        <v>1</v>
      </c>
      <c r="C3" s="8" t="s">
        <v>19</v>
      </c>
      <c r="D3" s="9" t="s">
        <v>20</v>
      </c>
      <c r="E3" s="11"/>
      <c r="F3" s="10"/>
      <c r="G3" s="403">
        <f>'BOQ '!K16</f>
        <v>46700</v>
      </c>
      <c r="H3" s="407">
        <v>0.02</v>
      </c>
      <c r="I3" s="12">
        <v>0.1</v>
      </c>
      <c r="J3" s="13">
        <f>(G3*H3)+(G3*I3)+G3</f>
        <v>52304</v>
      </c>
    </row>
    <row r="4" spans="2:10" x14ac:dyDescent="0.25">
      <c r="B4" s="14"/>
      <c r="C4" s="15"/>
      <c r="D4" s="16" t="s">
        <v>21</v>
      </c>
      <c r="E4" s="18"/>
      <c r="F4" s="17"/>
      <c r="G4" s="404">
        <f>'BOQ '!K27</f>
        <v>93600</v>
      </c>
      <c r="H4" s="408">
        <v>0.02</v>
      </c>
      <c r="I4" s="19">
        <v>0</v>
      </c>
      <c r="J4" s="13">
        <f t="shared" ref="J4:J11" si="0">(G4*H4)+(G4*I4)+G4</f>
        <v>95472</v>
      </c>
    </row>
    <row r="5" spans="2:10" x14ac:dyDescent="0.25">
      <c r="B5" s="14"/>
      <c r="C5" s="15"/>
      <c r="D5" t="s">
        <v>22</v>
      </c>
      <c r="E5" s="18"/>
      <c r="F5" s="17"/>
      <c r="G5" s="404">
        <f>'BOQ '!K63</f>
        <v>332078.30857142853</v>
      </c>
      <c r="H5" s="408">
        <v>0.05</v>
      </c>
      <c r="I5" s="19">
        <v>0.1</v>
      </c>
      <c r="J5" s="13">
        <f t="shared" si="0"/>
        <v>381890.05485714279</v>
      </c>
    </row>
    <row r="6" spans="2:10" x14ac:dyDescent="0.25">
      <c r="B6" s="20">
        <v>2</v>
      </c>
      <c r="C6" s="21" t="s">
        <v>23</v>
      </c>
      <c r="D6" s="16" t="s">
        <v>24</v>
      </c>
      <c r="E6" s="23">
        <f>'BOQ '!I72</f>
        <v>4418.7839999999997</v>
      </c>
      <c r="F6" s="22">
        <f>'BOQ '!J72</f>
        <v>22093.919999999998</v>
      </c>
      <c r="G6" s="404">
        <f>'BOQ '!K72</f>
        <v>26512.703999999998</v>
      </c>
      <c r="H6" s="408">
        <v>0.05</v>
      </c>
      <c r="I6" s="19">
        <v>0.1</v>
      </c>
      <c r="J6" s="13">
        <f t="shared" si="0"/>
        <v>30489.609599999996</v>
      </c>
    </row>
    <row r="7" spans="2:10" x14ac:dyDescent="0.25">
      <c r="B7" s="20">
        <v>3</v>
      </c>
      <c r="C7" s="21" t="s">
        <v>25</v>
      </c>
      <c r="D7" s="16" t="s">
        <v>26</v>
      </c>
      <c r="E7" s="23">
        <f>'BOQ '!I75</f>
        <v>9885.5097000000005</v>
      </c>
      <c r="F7" s="22">
        <f>'BOQ '!J75</f>
        <v>3328.96</v>
      </c>
      <c r="G7" s="404">
        <f>'BOQ '!K75</f>
        <v>13214.469700000001</v>
      </c>
      <c r="H7" s="408">
        <v>0.05</v>
      </c>
      <c r="I7" s="19">
        <v>0.1</v>
      </c>
      <c r="J7" s="13">
        <f t="shared" si="0"/>
        <v>15196.640155000001</v>
      </c>
    </row>
    <row r="8" spans="2:10" x14ac:dyDescent="0.25">
      <c r="B8" s="20">
        <v>4</v>
      </c>
      <c r="C8" s="21" t="s">
        <v>27</v>
      </c>
      <c r="D8" s="16" t="s">
        <v>28</v>
      </c>
      <c r="E8" s="23">
        <f>'BOQ '!I82</f>
        <v>12937.575150000001</v>
      </c>
      <c r="F8" s="22">
        <f>'BOQ '!J82</f>
        <v>24145.359999999997</v>
      </c>
      <c r="G8" s="404">
        <f>'BOQ '!K82</f>
        <v>37082.935149999998</v>
      </c>
      <c r="H8" s="408">
        <v>0.05</v>
      </c>
      <c r="I8" s="19">
        <v>0.1</v>
      </c>
      <c r="J8" s="13">
        <f t="shared" si="0"/>
        <v>42645.375422500001</v>
      </c>
    </row>
    <row r="9" spans="2:10" x14ac:dyDescent="0.25">
      <c r="B9" s="20">
        <v>7</v>
      </c>
      <c r="C9" s="21" t="s">
        <v>29</v>
      </c>
      <c r="D9" s="16" t="s">
        <v>30</v>
      </c>
      <c r="E9" s="23">
        <f>'BOQ '!I87</f>
        <v>1735.1847</v>
      </c>
      <c r="F9" s="22">
        <f>'BOQ '!J87</f>
        <v>11392</v>
      </c>
      <c r="G9" s="404">
        <f>'BOQ '!K87</f>
        <v>13127.1847</v>
      </c>
      <c r="H9" s="408">
        <v>0.05</v>
      </c>
      <c r="I9" s="19">
        <v>0.1</v>
      </c>
      <c r="J9" s="13">
        <f t="shared" si="0"/>
        <v>15096.262404999999</v>
      </c>
    </row>
    <row r="10" spans="2:10" x14ac:dyDescent="0.25">
      <c r="B10" s="20">
        <v>10</v>
      </c>
      <c r="C10" s="21" t="s">
        <v>31</v>
      </c>
      <c r="D10" s="16" t="s">
        <v>32</v>
      </c>
      <c r="E10" s="23">
        <f>'BOQ '!I90</f>
        <v>918.96839999999986</v>
      </c>
      <c r="F10" s="22">
        <f>'BOQ '!J90</f>
        <v>1594.56</v>
      </c>
      <c r="G10" s="404">
        <f>'BOQ '!K90</f>
        <v>2513.5283999999997</v>
      </c>
      <c r="H10" s="408">
        <v>0.05</v>
      </c>
      <c r="I10" s="19">
        <v>0.1</v>
      </c>
      <c r="J10" s="13">
        <f t="shared" si="0"/>
        <v>2890.5576599999995</v>
      </c>
    </row>
    <row r="11" spans="2:10" ht="15.75" thickBot="1" x14ac:dyDescent="0.3">
      <c r="B11" s="24">
        <v>13</v>
      </c>
      <c r="C11" s="25" t="s">
        <v>23</v>
      </c>
      <c r="D11" s="26" t="s">
        <v>33</v>
      </c>
      <c r="E11" s="27">
        <f>'BOQ '!I94</f>
        <v>0</v>
      </c>
      <c r="F11" s="27">
        <f>'BOQ '!J94</f>
        <v>0</v>
      </c>
      <c r="G11" s="405">
        <f>'BOQ '!K94</f>
        <v>0</v>
      </c>
      <c r="H11" s="409">
        <v>0.05</v>
      </c>
      <c r="I11" s="28">
        <v>0.1</v>
      </c>
      <c r="J11" s="29">
        <f t="shared" si="0"/>
        <v>0</v>
      </c>
    </row>
    <row r="12" spans="2:10" ht="18" customHeight="1" thickBot="1" x14ac:dyDescent="0.3">
      <c r="B12" s="445" t="s">
        <v>34</v>
      </c>
      <c r="C12" s="446"/>
      <c r="D12" s="446"/>
      <c r="E12" s="30">
        <f>SUM(E3:E11)</f>
        <v>29896.021950000002</v>
      </c>
      <c r="F12" s="30">
        <f>SUM(F3:F11)</f>
        <v>62554.799999999988</v>
      </c>
      <c r="G12" s="406">
        <f>SUM(G3:G11)</f>
        <v>564829.13052142854</v>
      </c>
      <c r="H12" s="31">
        <f>(H3*G3)+(G4*H4)+(G5*H5)+(G6*H6)+(G7*H7)+(G8*H8)+(G9*H9)+(G10*H10)+(G11*H11)</f>
        <v>24032.456526071426</v>
      </c>
      <c r="I12" s="31">
        <f>(I3*G3)+(G4*I4)+(G5*I5)+(G6*I6)+(G7*I7)+(G8*I8)+(G9*I9)+(G10*I10)+(G11*I11)</f>
        <v>47122.913052142852</v>
      </c>
      <c r="J12" s="32">
        <f>SUM(J3:J11)</f>
        <v>635984.50009964278</v>
      </c>
    </row>
    <row r="13" spans="2:10" ht="16.5" thickBot="1" x14ac:dyDescent="0.3">
      <c r="B13" s="445" t="s">
        <v>35</v>
      </c>
      <c r="C13" s="446"/>
      <c r="D13" s="446"/>
      <c r="E13" s="33"/>
      <c r="F13" s="33"/>
      <c r="G13" s="33"/>
      <c r="H13" s="33"/>
      <c r="I13" s="33"/>
      <c r="J13" s="34">
        <f>SUM(J12:J12)</f>
        <v>635984.50009964278</v>
      </c>
    </row>
  </sheetData>
  <mergeCells count="3">
    <mergeCell ref="B1:J1"/>
    <mergeCell ref="B12:D12"/>
    <mergeCell ref="B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C3B8-0884-430D-A9D2-23826F371DD8}">
  <sheetPr>
    <pageSetUpPr fitToPage="1"/>
  </sheetPr>
  <dimension ref="A1:U147"/>
  <sheetViews>
    <sheetView tabSelected="1" zoomScale="70" zoomScaleNormal="70" workbookViewId="0">
      <pane xSplit="8" ySplit="5" topLeftCell="I62" activePane="bottomRight" state="frozen"/>
      <selection pane="topRight" activeCell="I1" sqref="I1"/>
      <selection pane="bottomLeft" activeCell="A6" sqref="A6"/>
      <selection pane="bottomRight" activeCell="Z67" sqref="Z67"/>
    </sheetView>
  </sheetViews>
  <sheetFormatPr defaultColWidth="49.42578125" defaultRowHeight="15.75" x14ac:dyDescent="0.25"/>
  <cols>
    <col min="1" max="1" width="3.42578125" style="39" customWidth="1"/>
    <col min="2" max="2" width="11.140625" style="39" customWidth="1"/>
    <col min="3" max="3" width="12.5703125" style="39" customWidth="1"/>
    <col min="4" max="4" width="15.7109375" style="39" customWidth="1"/>
    <col min="5" max="5" width="9.42578125" style="39" hidden="1" customWidth="1"/>
    <col min="6" max="6" width="87" style="39" customWidth="1"/>
    <col min="7" max="7" width="18.7109375" style="39" bestFit="1" customWidth="1"/>
    <col min="8" max="8" width="19.140625" style="39" bestFit="1" customWidth="1"/>
    <col min="9" max="9" width="20.85546875" style="39" customWidth="1"/>
    <col min="10" max="10" width="19.7109375" style="39" customWidth="1"/>
    <col min="11" max="11" width="23" style="39" customWidth="1"/>
    <col min="12" max="12" width="14" style="39" hidden="1" customWidth="1"/>
    <col min="13" max="13" width="16.42578125" style="39" hidden="1" customWidth="1"/>
    <col min="14" max="14" width="14.42578125" style="37" hidden="1" customWidth="1"/>
    <col min="15" max="15" width="11.42578125" style="38" hidden="1" customWidth="1"/>
    <col min="16" max="16" width="15.7109375" style="38" hidden="1" customWidth="1"/>
    <col min="17" max="17" width="14.140625" style="38" hidden="1" customWidth="1"/>
    <col min="18" max="18" width="16.42578125" style="38" hidden="1" customWidth="1"/>
    <col min="19" max="20" width="9.7109375" style="39" hidden="1" customWidth="1"/>
    <col min="21" max="59" width="18.28515625" style="39" customWidth="1"/>
    <col min="60" max="16384" width="49.42578125" style="39"/>
  </cols>
  <sheetData>
    <row r="1" spans="1:18" x14ac:dyDescent="0.25">
      <c r="A1" s="447"/>
      <c r="B1" s="448"/>
      <c r="C1" s="448"/>
      <c r="D1" s="449"/>
      <c r="E1" s="456" t="s">
        <v>3</v>
      </c>
      <c r="F1" s="457"/>
      <c r="G1" s="457"/>
      <c r="H1" s="457"/>
      <c r="I1" s="457"/>
      <c r="J1" s="457"/>
      <c r="K1" s="460"/>
      <c r="L1" s="222"/>
      <c r="M1" s="222"/>
    </row>
    <row r="2" spans="1:18" x14ac:dyDescent="0.25">
      <c r="A2" s="450"/>
      <c r="B2" s="451"/>
      <c r="C2" s="451"/>
      <c r="D2" s="452"/>
      <c r="E2" s="458"/>
      <c r="F2" s="459"/>
      <c r="G2" s="459"/>
      <c r="H2" s="459"/>
      <c r="I2" s="459"/>
      <c r="J2" s="459"/>
      <c r="K2" s="461"/>
      <c r="L2" s="222"/>
      <c r="M2" s="222"/>
      <c r="P2" s="40"/>
      <c r="Q2" s="40"/>
    </row>
    <row r="3" spans="1:18" ht="40.5" customHeight="1" x14ac:dyDescent="0.25">
      <c r="A3" s="450"/>
      <c r="B3" s="451"/>
      <c r="C3" s="451"/>
      <c r="D3" s="452"/>
      <c r="E3" s="458"/>
      <c r="F3" s="459"/>
      <c r="G3" s="459"/>
      <c r="H3" s="459"/>
      <c r="I3" s="459"/>
      <c r="J3" s="459"/>
      <c r="K3" s="461"/>
      <c r="L3" s="222"/>
      <c r="M3" s="222"/>
      <c r="P3" s="40"/>
      <c r="Q3" s="40"/>
      <c r="R3" s="40"/>
    </row>
    <row r="4" spans="1:18" ht="34.5" customHeight="1" thickBot="1" x14ac:dyDescent="0.3">
      <c r="A4" s="453"/>
      <c r="B4" s="454"/>
      <c r="C4" s="454"/>
      <c r="D4" s="455"/>
      <c r="E4" s="464" t="s">
        <v>4</v>
      </c>
      <c r="F4" s="465"/>
      <c r="G4" s="465"/>
      <c r="H4" s="465"/>
      <c r="I4" s="465"/>
      <c r="J4" s="462"/>
      <c r="K4" s="463"/>
      <c r="L4" s="41"/>
      <c r="M4" s="222"/>
      <c r="P4" s="42"/>
      <c r="Q4" s="40"/>
    </row>
    <row r="5" spans="1:18" ht="32.25" thickBot="1" x14ac:dyDescent="0.3">
      <c r="A5" s="43" t="s">
        <v>36</v>
      </c>
      <c r="B5" s="44" t="s">
        <v>37</v>
      </c>
      <c r="C5" s="44" t="s">
        <v>38</v>
      </c>
      <c r="D5" s="44" t="s">
        <v>39</v>
      </c>
      <c r="E5" s="44" t="s">
        <v>40</v>
      </c>
      <c r="F5" s="45" t="s">
        <v>41</v>
      </c>
      <c r="G5" s="44" t="s">
        <v>42</v>
      </c>
      <c r="H5" s="44" t="s">
        <v>43</v>
      </c>
      <c r="I5" s="44" t="s">
        <v>44</v>
      </c>
      <c r="J5" s="44" t="s">
        <v>45</v>
      </c>
      <c r="K5" s="44" t="s">
        <v>46</v>
      </c>
      <c r="L5" s="222" t="s">
        <v>47</v>
      </c>
      <c r="M5" s="222" t="s">
        <v>0</v>
      </c>
      <c r="N5" s="38" t="s">
        <v>48</v>
      </c>
      <c r="O5" s="46" t="s">
        <v>49</v>
      </c>
      <c r="P5" s="38" t="s">
        <v>50</v>
      </c>
      <c r="Q5" s="47"/>
    </row>
    <row r="6" spans="1:18" ht="16.5" thickBot="1" x14ac:dyDescent="0.3">
      <c r="A6" s="48"/>
      <c r="B6" s="48"/>
      <c r="C6" s="48"/>
      <c r="D6" s="48"/>
      <c r="E6" s="49">
        <v>10000</v>
      </c>
      <c r="F6" s="50" t="s">
        <v>51</v>
      </c>
      <c r="G6" s="48"/>
      <c r="H6" s="48"/>
      <c r="I6" s="48"/>
      <c r="J6" s="48"/>
      <c r="K6" s="48"/>
      <c r="L6" s="51"/>
      <c r="M6" s="51"/>
      <c r="N6" s="52"/>
    </row>
    <row r="7" spans="1:18" ht="16.5" thickBot="1" x14ac:dyDescent="0.3">
      <c r="A7" s="48"/>
      <c r="B7" s="48"/>
      <c r="C7" s="48"/>
      <c r="D7" s="48"/>
      <c r="E7" s="49"/>
      <c r="F7" s="50"/>
      <c r="G7" s="48"/>
      <c r="H7" s="48"/>
      <c r="I7" s="48"/>
      <c r="J7" s="48"/>
      <c r="K7" s="48"/>
      <c r="L7" s="51"/>
      <c r="M7" s="51"/>
      <c r="N7" s="52"/>
    </row>
    <row r="8" spans="1:18" ht="16.5" thickBot="1" x14ac:dyDescent="0.3">
      <c r="A8" s="53"/>
      <c r="B8" s="53"/>
      <c r="C8" s="53"/>
      <c r="D8" s="53"/>
      <c r="E8" s="53"/>
      <c r="F8" s="54" t="s">
        <v>52</v>
      </c>
      <c r="G8" s="53"/>
      <c r="H8" s="53"/>
      <c r="I8" s="55"/>
      <c r="J8" s="55"/>
      <c r="K8" s="55"/>
      <c r="L8" s="56"/>
      <c r="M8" s="56"/>
      <c r="N8" s="57"/>
    </row>
    <row r="9" spans="1:18" ht="16.5" thickBot="1" x14ac:dyDescent="0.3">
      <c r="A9" s="53"/>
      <c r="B9" s="53"/>
      <c r="C9" s="53"/>
      <c r="D9" s="53"/>
      <c r="E9" s="53"/>
      <c r="F9" s="58" t="s">
        <v>53</v>
      </c>
      <c r="G9" s="53" t="s">
        <v>54</v>
      </c>
      <c r="H9" s="53">
        <v>1</v>
      </c>
      <c r="I9" s="55">
        <f>K9*0.45</f>
        <v>5400</v>
      </c>
      <c r="J9" s="55">
        <f>K9*0.55</f>
        <v>6600.0000000000009</v>
      </c>
      <c r="K9" s="437">
        <v>12000</v>
      </c>
      <c r="L9" s="56">
        <f t="shared" ref="L9:L15" si="0">K9/$K$101</f>
        <v>2.1245363157743054E-2</v>
      </c>
      <c r="M9" s="56"/>
      <c r="N9" s="57"/>
    </row>
    <row r="10" spans="1:18" ht="16.5" thickBot="1" x14ac:dyDescent="0.3">
      <c r="A10" s="53"/>
      <c r="B10" s="53"/>
      <c r="C10" s="53"/>
      <c r="D10" s="53"/>
      <c r="E10" s="53"/>
      <c r="F10" s="58" t="s">
        <v>55</v>
      </c>
      <c r="G10" s="53" t="s">
        <v>54</v>
      </c>
      <c r="H10" s="53">
        <v>1</v>
      </c>
      <c r="I10" s="55">
        <f>K10*0.45</f>
        <v>3600</v>
      </c>
      <c r="J10" s="55">
        <f>K10*0.55</f>
        <v>4400</v>
      </c>
      <c r="K10" s="437">
        <v>8000</v>
      </c>
      <c r="L10" s="56">
        <f t="shared" si="0"/>
        <v>1.4163575438495368E-2</v>
      </c>
      <c r="M10" s="56"/>
      <c r="N10" s="57"/>
    </row>
    <row r="11" spans="1:18" ht="16.5" thickBot="1" x14ac:dyDescent="0.3">
      <c r="A11" s="53"/>
      <c r="B11" s="53"/>
      <c r="C11" s="53"/>
      <c r="D11" s="53"/>
      <c r="E11" s="53"/>
      <c r="F11" s="59" t="s">
        <v>56</v>
      </c>
      <c r="G11" s="53" t="s">
        <v>54</v>
      </c>
      <c r="H11" s="397">
        <v>1</v>
      </c>
      <c r="I11" s="61">
        <f>K11*0.45</f>
        <v>4500</v>
      </c>
      <c r="J11" s="61">
        <f>K11*0.55</f>
        <v>5500</v>
      </c>
      <c r="K11" s="61">
        <v>10000</v>
      </c>
      <c r="L11" s="56">
        <f t="shared" si="0"/>
        <v>1.770446929811921E-2</v>
      </c>
      <c r="M11" s="56"/>
      <c r="N11" s="62"/>
    </row>
    <row r="12" spans="1:18" ht="16.5" thickBot="1" x14ac:dyDescent="0.3">
      <c r="A12" s="53"/>
      <c r="B12" s="53"/>
      <c r="C12" s="53"/>
      <c r="D12" s="53"/>
      <c r="E12" s="53"/>
      <c r="F12" s="59" t="s">
        <v>57</v>
      </c>
      <c r="G12" s="53" t="s">
        <v>54</v>
      </c>
      <c r="H12" s="397">
        <v>1</v>
      </c>
      <c r="I12" s="61">
        <f>K12*0.45</f>
        <v>2250</v>
      </c>
      <c r="J12" s="61">
        <f>K12*0.55</f>
        <v>2750</v>
      </c>
      <c r="K12" s="61">
        <v>5000</v>
      </c>
      <c r="L12" s="56">
        <f t="shared" si="0"/>
        <v>8.8522346490596052E-3</v>
      </c>
      <c r="M12" s="56"/>
    </row>
    <row r="13" spans="1:18" ht="16.5" thickBot="1" x14ac:dyDescent="0.3">
      <c r="A13" s="53"/>
      <c r="B13" s="53"/>
      <c r="C13" s="53"/>
      <c r="D13" s="53"/>
      <c r="E13" s="53"/>
      <c r="F13" s="63" t="s">
        <v>58</v>
      </c>
      <c r="G13" s="60" t="s">
        <v>59</v>
      </c>
      <c r="H13" s="397">
        <v>6</v>
      </c>
      <c r="I13" s="61">
        <v>300</v>
      </c>
      <c r="J13" s="61"/>
      <c r="K13" s="61">
        <f>I13*H13</f>
        <v>1800</v>
      </c>
      <c r="L13" s="56">
        <f t="shared" si="0"/>
        <v>3.1868044736614578E-3</v>
      </c>
      <c r="M13" s="56"/>
    </row>
    <row r="14" spans="1:18" ht="16.5" thickBot="1" x14ac:dyDescent="0.3">
      <c r="A14" s="53"/>
      <c r="B14" s="53"/>
      <c r="C14" s="53"/>
      <c r="D14" s="53"/>
      <c r="E14" s="53"/>
      <c r="F14" s="58" t="s">
        <v>60</v>
      </c>
      <c r="G14" s="60" t="s">
        <v>59</v>
      </c>
      <c r="H14" s="397">
        <v>6</v>
      </c>
      <c r="I14" s="61">
        <v>400</v>
      </c>
      <c r="J14" s="61"/>
      <c r="K14" s="61">
        <f>I14*H14</f>
        <v>2400</v>
      </c>
      <c r="L14" s="56">
        <f t="shared" si="0"/>
        <v>4.2490726315486107E-3</v>
      </c>
      <c r="M14" s="56"/>
    </row>
    <row r="15" spans="1:18" ht="16.5" thickBot="1" x14ac:dyDescent="0.3">
      <c r="A15" s="53"/>
      <c r="B15" s="53"/>
      <c r="C15" s="53"/>
      <c r="D15" s="53"/>
      <c r="E15" s="53"/>
      <c r="F15" s="59" t="s">
        <v>61</v>
      </c>
      <c r="G15" s="53" t="s">
        <v>54</v>
      </c>
      <c r="H15" s="397">
        <v>1</v>
      </c>
      <c r="I15" s="61">
        <f>K15*0.45</f>
        <v>3375</v>
      </c>
      <c r="J15" s="61">
        <f>K15*0.55</f>
        <v>4125</v>
      </c>
      <c r="K15" s="61">
        <v>7500</v>
      </c>
      <c r="L15" s="56">
        <f t="shared" si="0"/>
        <v>1.3278351973589408E-2</v>
      </c>
      <c r="M15" s="56"/>
    </row>
    <row r="16" spans="1:18" ht="16.5" thickBot="1" x14ac:dyDescent="0.3">
      <c r="A16" s="53"/>
      <c r="B16" s="53"/>
      <c r="C16" s="53"/>
      <c r="D16" s="53"/>
      <c r="E16" s="53"/>
      <c r="F16" s="63"/>
      <c r="G16" s="53"/>
      <c r="H16" s="64" t="s">
        <v>62</v>
      </c>
      <c r="I16" s="65">
        <f>SUM(I9:I15)</f>
        <v>19825</v>
      </c>
      <c r="J16" s="65">
        <f>SUM(J9:J15)</f>
        <v>23375</v>
      </c>
      <c r="K16" s="66">
        <f>SUM(K9:K15)</f>
        <v>46700</v>
      </c>
      <c r="L16" s="56"/>
      <c r="M16" s="56">
        <f>K16/$K$101</f>
        <v>8.2679871622216711E-2</v>
      </c>
      <c r="N16" s="67"/>
    </row>
    <row r="17" spans="1:21" ht="16.5" thickBot="1" x14ac:dyDescent="0.3">
      <c r="A17" s="53"/>
      <c r="B17" s="53"/>
      <c r="C17" s="53"/>
      <c r="D17" s="53"/>
      <c r="E17" s="53"/>
      <c r="F17" s="68" t="s">
        <v>63</v>
      </c>
      <c r="G17" s="53"/>
      <c r="H17" s="60"/>
      <c r="I17" s="61"/>
      <c r="J17" s="61"/>
      <c r="K17" s="61"/>
      <c r="L17" s="56">
        <f t="shared" ref="L17:L26" si="1">K17/$K$101</f>
        <v>0</v>
      </c>
      <c r="M17" s="56"/>
    </row>
    <row r="18" spans="1:21" ht="16.5" thickBot="1" x14ac:dyDescent="0.3">
      <c r="A18" s="53"/>
      <c r="B18" s="53"/>
      <c r="C18" s="53"/>
      <c r="D18" s="53"/>
      <c r="E18" s="53"/>
      <c r="F18" s="58" t="s">
        <v>64</v>
      </c>
      <c r="G18" s="53" t="s">
        <v>54</v>
      </c>
      <c r="H18" s="131">
        <v>1</v>
      </c>
      <c r="I18" s="55">
        <f>K18*0.45</f>
        <v>900</v>
      </c>
      <c r="J18" s="55">
        <f>K18*0.55</f>
        <v>1100</v>
      </c>
      <c r="K18" s="55">
        <v>2000</v>
      </c>
      <c r="L18" s="56">
        <f t="shared" si="1"/>
        <v>3.540893859623842E-3</v>
      </c>
      <c r="M18" s="56"/>
      <c r="N18" s="57"/>
    </row>
    <row r="19" spans="1:21" ht="16.5" thickBot="1" x14ac:dyDescent="0.3">
      <c r="A19" s="53"/>
      <c r="B19" s="53"/>
      <c r="C19" s="53"/>
      <c r="D19" s="53"/>
      <c r="E19" s="53"/>
      <c r="F19" s="58" t="s">
        <v>65</v>
      </c>
      <c r="G19" s="53" t="s">
        <v>59</v>
      </c>
      <c r="H19" s="397">
        <v>6</v>
      </c>
      <c r="I19" s="55"/>
      <c r="J19" s="55">
        <v>8000</v>
      </c>
      <c r="K19" s="55">
        <f>J19*H19</f>
        <v>48000</v>
      </c>
      <c r="L19" s="56">
        <f t="shared" si="1"/>
        <v>8.4981452630972218E-2</v>
      </c>
      <c r="M19" s="56"/>
      <c r="N19" s="62"/>
    </row>
    <row r="20" spans="1:21" ht="16.5" thickBot="1" x14ac:dyDescent="0.3">
      <c r="A20" s="53"/>
      <c r="B20" s="53"/>
      <c r="C20" s="53"/>
      <c r="D20" s="53"/>
      <c r="E20" s="53"/>
      <c r="F20" s="58" t="s">
        <v>66</v>
      </c>
      <c r="G20" s="53" t="s">
        <v>59</v>
      </c>
      <c r="H20" s="397">
        <v>6</v>
      </c>
      <c r="I20" s="55">
        <f t="shared" ref="I20" si="2">K20*0.45</f>
        <v>4500</v>
      </c>
      <c r="J20" s="55">
        <f t="shared" ref="J20" si="3">K20*0.55</f>
        <v>5500</v>
      </c>
      <c r="K20" s="55">
        <v>10000</v>
      </c>
      <c r="L20" s="56">
        <f t="shared" si="1"/>
        <v>1.770446929811921E-2</v>
      </c>
      <c r="M20" s="56"/>
      <c r="N20" s="62"/>
    </row>
    <row r="21" spans="1:21" ht="16.5" thickBot="1" x14ac:dyDescent="0.3">
      <c r="A21" s="53"/>
      <c r="B21" s="53"/>
      <c r="C21" s="53"/>
      <c r="D21" s="53"/>
      <c r="E21" s="53"/>
      <c r="F21" s="58" t="s">
        <v>67</v>
      </c>
      <c r="G21" s="53" t="s">
        <v>59</v>
      </c>
      <c r="H21" s="131">
        <v>6</v>
      </c>
      <c r="I21" s="55"/>
      <c r="J21" s="55">
        <v>3400</v>
      </c>
      <c r="K21" s="55">
        <f>H21*J21</f>
        <v>20400</v>
      </c>
      <c r="L21" s="56">
        <f t="shared" si="1"/>
        <v>3.6117117368163192E-2</v>
      </c>
      <c r="M21" s="56"/>
      <c r="N21" s="62"/>
    </row>
    <row r="22" spans="1:21" ht="16.5" thickBot="1" x14ac:dyDescent="0.3">
      <c r="A22" s="53"/>
      <c r="B22" s="53"/>
      <c r="C22" s="53"/>
      <c r="D22" s="53"/>
      <c r="E22" s="53"/>
      <c r="F22" s="58" t="s">
        <v>72</v>
      </c>
      <c r="G22" s="53" t="s">
        <v>54</v>
      </c>
      <c r="H22" s="60">
        <v>1</v>
      </c>
      <c r="I22" s="61">
        <f>K22*0.45</f>
        <v>2700</v>
      </c>
      <c r="J22" s="61">
        <f>K22*0.55</f>
        <v>3300.0000000000005</v>
      </c>
      <c r="K22" s="61">
        <v>6000</v>
      </c>
      <c r="L22" s="56">
        <f t="shared" si="1"/>
        <v>1.0622681578871527E-2</v>
      </c>
      <c r="M22" s="56"/>
    </row>
    <row r="23" spans="1:21" ht="16.5" thickBot="1" x14ac:dyDescent="0.3">
      <c r="A23" s="53"/>
      <c r="B23" s="53"/>
      <c r="C23" s="53"/>
      <c r="D23" s="53"/>
      <c r="E23" s="53"/>
      <c r="F23" s="58" t="s">
        <v>74</v>
      </c>
      <c r="G23" s="53" t="s">
        <v>54</v>
      </c>
      <c r="H23" s="60">
        <v>1</v>
      </c>
      <c r="I23" s="61">
        <f>K23*0.45</f>
        <v>1350</v>
      </c>
      <c r="J23" s="61">
        <f>K23*0.55</f>
        <v>1650.0000000000002</v>
      </c>
      <c r="K23" s="61">
        <v>3000</v>
      </c>
      <c r="L23" s="56">
        <f t="shared" si="1"/>
        <v>5.3113407894357636E-3</v>
      </c>
      <c r="M23" s="56"/>
    </row>
    <row r="24" spans="1:21" ht="16.5" thickBot="1" x14ac:dyDescent="0.3">
      <c r="A24" s="53"/>
      <c r="B24" s="53"/>
      <c r="C24" s="53"/>
      <c r="D24" s="53"/>
      <c r="E24" s="53"/>
      <c r="F24" s="69" t="s">
        <v>1</v>
      </c>
      <c r="G24" s="53"/>
      <c r="H24" s="60"/>
      <c r="I24" s="61"/>
      <c r="J24" s="61"/>
      <c r="K24" s="61"/>
      <c r="L24" s="56">
        <f t="shared" si="1"/>
        <v>0</v>
      </c>
      <c r="M24" s="56"/>
    </row>
    <row r="25" spans="1:21" ht="16.5" thickBot="1" x14ac:dyDescent="0.3">
      <c r="A25" s="53"/>
      <c r="B25" s="53"/>
      <c r="C25" s="53"/>
      <c r="D25" s="53"/>
      <c r="E25" s="53"/>
      <c r="F25" s="58" t="s">
        <v>124</v>
      </c>
      <c r="G25" s="53" t="s">
        <v>54</v>
      </c>
      <c r="H25" s="53">
        <v>1</v>
      </c>
      <c r="I25" s="55"/>
      <c r="J25" s="55">
        <f t="shared" ref="J25:J26" si="4">K25</f>
        <v>2700</v>
      </c>
      <c r="K25" s="55">
        <v>2700</v>
      </c>
      <c r="L25" s="56">
        <f t="shared" si="1"/>
        <v>4.7802067104921872E-3</v>
      </c>
      <c r="M25" s="56"/>
    </row>
    <row r="26" spans="1:21" ht="16.5" thickBot="1" x14ac:dyDescent="0.3">
      <c r="A26" s="53"/>
      <c r="B26" s="53"/>
      <c r="C26" s="53"/>
      <c r="D26" s="53"/>
      <c r="E26" s="53"/>
      <c r="F26" s="58" t="s">
        <v>126</v>
      </c>
      <c r="G26" s="53" t="s">
        <v>54</v>
      </c>
      <c r="H26" s="53">
        <v>1</v>
      </c>
      <c r="I26" s="55"/>
      <c r="J26" s="55">
        <f t="shared" si="4"/>
        <v>1500</v>
      </c>
      <c r="K26" s="55">
        <v>1500</v>
      </c>
      <c r="L26" s="56">
        <f t="shared" si="1"/>
        <v>2.6556703947178818E-3</v>
      </c>
      <c r="M26" s="56"/>
    </row>
    <row r="27" spans="1:21" ht="16.5" thickBot="1" x14ac:dyDescent="0.3">
      <c r="A27" s="53"/>
      <c r="B27" s="53"/>
      <c r="C27" s="53"/>
      <c r="D27" s="53"/>
      <c r="E27" s="53"/>
      <c r="F27" s="63"/>
      <c r="G27" s="53"/>
      <c r="H27" s="64" t="s">
        <v>62</v>
      </c>
      <c r="I27" s="65">
        <f>SUM(I18:I26)</f>
        <v>9450</v>
      </c>
      <c r="J27" s="65">
        <f>SUM(J18:J26)</f>
        <v>27150</v>
      </c>
      <c r="K27" s="66">
        <f>SUM(K18:K26)</f>
        <v>93600</v>
      </c>
      <c r="L27" s="56"/>
      <c r="M27" s="56">
        <f>K27/$K$101</f>
        <v>0.16571383263039582</v>
      </c>
      <c r="N27" s="67"/>
    </row>
    <row r="28" spans="1:21" ht="21" thickBot="1" x14ac:dyDescent="0.3">
      <c r="A28" s="53"/>
      <c r="B28" s="70"/>
      <c r="C28" s="70"/>
      <c r="D28" s="70"/>
      <c r="E28" s="70"/>
      <c r="F28" s="71" t="s">
        <v>75</v>
      </c>
      <c r="G28" s="70"/>
      <c r="H28" s="70"/>
      <c r="I28" s="72"/>
      <c r="J28" s="72"/>
      <c r="K28" s="73"/>
      <c r="L28" s="56">
        <f t="shared" ref="L28:L39" si="5">K28/$K$101</f>
        <v>0</v>
      </c>
      <c r="M28" s="56"/>
      <c r="N28" s="74"/>
    </row>
    <row r="29" spans="1:21" ht="16.5" thickBot="1" x14ac:dyDescent="0.3">
      <c r="A29" s="53"/>
      <c r="B29" s="53"/>
      <c r="C29" s="53"/>
      <c r="D29" s="53"/>
      <c r="E29" s="53"/>
      <c r="F29" s="75" t="s">
        <v>76</v>
      </c>
      <c r="G29" s="131" t="s">
        <v>77</v>
      </c>
      <c r="H29" s="131">
        <v>2</v>
      </c>
      <c r="I29" s="55">
        <v>1700</v>
      </c>
      <c r="J29" s="55"/>
      <c r="K29" s="55">
        <f>I29*H29</f>
        <v>3400</v>
      </c>
      <c r="L29" s="56">
        <f t="shared" si="5"/>
        <v>6.0195195613605319E-3</v>
      </c>
      <c r="M29" s="430"/>
      <c r="O29" s="37"/>
    </row>
    <row r="30" spans="1:21" s="38" customFormat="1" ht="16.5" thickBot="1" x14ac:dyDescent="0.3">
      <c r="A30" s="53"/>
      <c r="B30" s="53"/>
      <c r="C30" s="53"/>
      <c r="D30" s="131"/>
      <c r="E30" s="53"/>
      <c r="F30" s="58" t="s">
        <v>78</v>
      </c>
      <c r="G30" s="131" t="s">
        <v>79</v>
      </c>
      <c r="H30" s="131">
        <v>250</v>
      </c>
      <c r="I30" s="55"/>
      <c r="J30" s="55">
        <f>N30*O30*P30*Q30</f>
        <v>1343.84</v>
      </c>
      <c r="K30" s="437">
        <f>J30</f>
        <v>1343.84</v>
      </c>
      <c r="L30" s="56">
        <f t="shared" si="5"/>
        <v>2.3791974021584519E-3</v>
      </c>
      <c r="M30" s="430"/>
      <c r="N30" s="76">
        <v>2</v>
      </c>
      <c r="O30" s="77">
        <v>1</v>
      </c>
      <c r="P30" s="76">
        <v>8</v>
      </c>
      <c r="Q30" s="78">
        <v>83.99</v>
      </c>
      <c r="R30" s="76" t="s">
        <v>367</v>
      </c>
      <c r="S30" s="39"/>
      <c r="T30" s="39"/>
      <c r="U30" s="39"/>
    </row>
    <row r="31" spans="1:21" s="38" customFormat="1" ht="16.5" hidden="1" thickBot="1" x14ac:dyDescent="0.3">
      <c r="A31" s="53" t="s">
        <v>132</v>
      </c>
      <c r="B31" s="53"/>
      <c r="C31" s="53"/>
      <c r="D31" s="131"/>
      <c r="E31" s="53"/>
      <c r="F31" s="63" t="s">
        <v>498</v>
      </c>
      <c r="G31" s="131" t="s">
        <v>77</v>
      </c>
      <c r="H31" s="131">
        <f>((130+25+25))/5</f>
        <v>36</v>
      </c>
      <c r="I31" s="55">
        <v>0</v>
      </c>
      <c r="J31" s="55">
        <v>0</v>
      </c>
      <c r="K31" s="437">
        <f>J31+(I31*H31)</f>
        <v>0</v>
      </c>
      <c r="L31" s="56">
        <f t="shared" si="5"/>
        <v>0</v>
      </c>
      <c r="M31" s="430"/>
      <c r="N31" s="76">
        <v>2</v>
      </c>
      <c r="O31" s="77">
        <v>2</v>
      </c>
      <c r="P31" s="76">
        <v>8</v>
      </c>
      <c r="Q31" s="78">
        <v>83.99</v>
      </c>
      <c r="R31" s="76" t="s">
        <v>367</v>
      </c>
      <c r="S31" s="39"/>
      <c r="T31" s="39"/>
      <c r="U31" s="39"/>
    </row>
    <row r="32" spans="1:21" s="38" customFormat="1" ht="16.5" thickBot="1" x14ac:dyDescent="0.3">
      <c r="A32" s="53"/>
      <c r="B32" s="53"/>
      <c r="C32" s="53"/>
      <c r="D32" s="131"/>
      <c r="E32" s="53"/>
      <c r="F32" s="58" t="s">
        <v>521</v>
      </c>
      <c r="G32" s="53" t="s">
        <v>59</v>
      </c>
      <c r="H32" s="131">
        <v>6</v>
      </c>
      <c r="I32" s="55">
        <f>K32*0.45</f>
        <v>13307.142857142859</v>
      </c>
      <c r="J32" s="55">
        <f>K32*0.55</f>
        <v>16264.285714285716</v>
      </c>
      <c r="K32" s="437">
        <f>('Quote comparison'!H31)*H32</f>
        <v>29571.428571428572</v>
      </c>
      <c r="L32" s="56">
        <f t="shared" si="5"/>
        <v>5.235464492443824E-2</v>
      </c>
      <c r="M32" s="430">
        <f>K32/H32</f>
        <v>4928.5714285714284</v>
      </c>
      <c r="N32" s="37"/>
      <c r="O32" s="37"/>
      <c r="S32" s="39"/>
      <c r="T32" s="39"/>
      <c r="U32" s="39"/>
    </row>
    <row r="33" spans="1:21" s="38" customFormat="1" ht="16.5" hidden="1" thickBot="1" x14ac:dyDescent="0.3">
      <c r="A33" s="53"/>
      <c r="B33" s="53"/>
      <c r="C33" s="53"/>
      <c r="D33" s="131"/>
      <c r="E33" s="53"/>
      <c r="F33" s="58" t="s">
        <v>508</v>
      </c>
      <c r="G33" s="53" t="s">
        <v>59</v>
      </c>
      <c r="H33" s="131">
        <v>7</v>
      </c>
      <c r="I33" s="55"/>
      <c r="J33" s="55"/>
      <c r="K33" s="437">
        <f>'Quote comparison'!J37</f>
        <v>13000</v>
      </c>
      <c r="L33" s="56">
        <f t="shared" si="5"/>
        <v>2.3015810087554975E-2</v>
      </c>
      <c r="M33" s="430"/>
      <c r="N33" s="37"/>
      <c r="O33" s="37"/>
      <c r="S33" s="39"/>
      <c r="T33" s="39"/>
      <c r="U33" s="39"/>
    </row>
    <row r="34" spans="1:21" s="38" customFormat="1" ht="16.5" thickBot="1" x14ac:dyDescent="0.3">
      <c r="A34" s="53"/>
      <c r="B34" s="53"/>
      <c r="C34" s="53"/>
      <c r="D34" s="131"/>
      <c r="E34" s="53"/>
      <c r="F34" s="58" t="s">
        <v>509</v>
      </c>
      <c r="G34" s="53" t="s">
        <v>59</v>
      </c>
      <c r="H34" s="397">
        <v>2</v>
      </c>
      <c r="I34" s="55"/>
      <c r="J34" s="55"/>
      <c r="K34" s="437">
        <f>(('Quote comparison'!H17)*H34)+('Quote comparison'!J18)</f>
        <v>131200</v>
      </c>
      <c r="L34" s="56">
        <f t="shared" si="5"/>
        <v>0.23228263719132405</v>
      </c>
      <c r="M34" s="430">
        <f>K34/H34</f>
        <v>65600</v>
      </c>
      <c r="N34" s="37"/>
      <c r="O34" s="37"/>
      <c r="S34" s="39"/>
      <c r="T34" s="39"/>
      <c r="U34" s="39"/>
    </row>
    <row r="35" spans="1:21" s="38" customFormat="1" ht="16.5" thickBot="1" x14ac:dyDescent="0.3">
      <c r="A35" s="53"/>
      <c r="B35" s="53"/>
      <c r="C35" s="53"/>
      <c r="D35" s="131"/>
      <c r="E35" s="53"/>
      <c r="F35" s="58" t="s">
        <v>399</v>
      </c>
      <c r="G35" s="53" t="s">
        <v>79</v>
      </c>
      <c r="H35" s="397">
        <v>25</v>
      </c>
      <c r="I35" s="55">
        <v>0</v>
      </c>
      <c r="J35" s="55">
        <v>0</v>
      </c>
      <c r="K35" s="468">
        <f>'Quote comparison'!J25</f>
        <v>37500</v>
      </c>
      <c r="L35" s="56">
        <f t="shared" si="5"/>
        <v>6.6391759867947042E-2</v>
      </c>
      <c r="M35" s="470">
        <f>K35/(H35+H36)</f>
        <v>178.57142857142858</v>
      </c>
      <c r="N35" s="37"/>
      <c r="O35" s="37"/>
      <c r="S35" s="39"/>
      <c r="T35" s="39"/>
      <c r="U35" s="39"/>
    </row>
    <row r="36" spans="1:21" s="38" customFormat="1" ht="16.5" thickBot="1" x14ac:dyDescent="0.3">
      <c r="A36" s="53"/>
      <c r="B36" s="53"/>
      <c r="C36" s="53"/>
      <c r="D36" s="131"/>
      <c r="E36" s="53"/>
      <c r="F36" s="58" t="s">
        <v>401</v>
      </c>
      <c r="G36" s="53" t="s">
        <v>79</v>
      </c>
      <c r="H36" s="397">
        <v>185</v>
      </c>
      <c r="I36" s="55"/>
      <c r="J36" s="55"/>
      <c r="K36" s="469"/>
      <c r="L36" s="56">
        <f t="shared" si="5"/>
        <v>0</v>
      </c>
      <c r="M36" s="470"/>
      <c r="N36" s="37"/>
      <c r="O36" s="37"/>
      <c r="S36" s="39"/>
      <c r="T36" s="39"/>
      <c r="U36" s="39"/>
    </row>
    <row r="37" spans="1:21" s="38" customFormat="1" ht="16.5" thickBot="1" x14ac:dyDescent="0.3">
      <c r="A37" s="53"/>
      <c r="B37" s="53"/>
      <c r="C37" s="53"/>
      <c r="D37" s="131"/>
      <c r="E37" s="53"/>
      <c r="F37" s="432" t="s">
        <v>525</v>
      </c>
      <c r="G37" s="53" t="s">
        <v>88</v>
      </c>
      <c r="H37" s="397">
        <v>10760</v>
      </c>
      <c r="I37" s="55">
        <v>0</v>
      </c>
      <c r="J37" s="55">
        <v>0</v>
      </c>
      <c r="K37" s="437">
        <f>'Quote comparison'!J10</f>
        <v>94999.999999999985</v>
      </c>
      <c r="L37" s="56">
        <f t="shared" si="5"/>
        <v>0.16819245833213248</v>
      </c>
      <c r="M37" s="430">
        <f>K37/H37</f>
        <v>8.8289962825278803</v>
      </c>
      <c r="N37" s="37"/>
      <c r="O37" s="37"/>
      <c r="S37" s="39"/>
      <c r="T37" s="39"/>
      <c r="U37" s="39"/>
    </row>
    <row r="38" spans="1:21" s="38" customFormat="1" ht="16.5" hidden="1" thickBot="1" x14ac:dyDescent="0.3">
      <c r="A38" s="53"/>
      <c r="B38" s="53"/>
      <c r="C38" s="53"/>
      <c r="D38" s="131"/>
      <c r="E38" s="53"/>
      <c r="F38" s="63" t="s">
        <v>500</v>
      </c>
      <c r="G38" s="53" t="s">
        <v>59</v>
      </c>
      <c r="H38" s="397">
        <v>4</v>
      </c>
      <c r="I38" s="55"/>
      <c r="J38" s="55"/>
      <c r="K38" s="437">
        <v>0</v>
      </c>
      <c r="L38" s="56">
        <f t="shared" si="5"/>
        <v>0</v>
      </c>
      <c r="M38" s="430">
        <f t="shared" ref="M38:M41" si="6">K38/H38</f>
        <v>0</v>
      </c>
      <c r="N38" s="37"/>
      <c r="O38" s="37"/>
      <c r="S38" s="39"/>
      <c r="T38" s="39"/>
      <c r="U38" s="39"/>
    </row>
    <row r="39" spans="1:21" s="38" customFormat="1" ht="16.5" hidden="1" thickBot="1" x14ac:dyDescent="0.3">
      <c r="A39" s="53"/>
      <c r="B39" s="53"/>
      <c r="C39" s="53"/>
      <c r="D39" s="131"/>
      <c r="E39" s="53"/>
      <c r="F39" s="63" t="s">
        <v>400</v>
      </c>
      <c r="G39" s="60" t="s">
        <v>54</v>
      </c>
      <c r="H39" s="438">
        <v>1</v>
      </c>
      <c r="I39" s="55"/>
      <c r="J39" s="55">
        <v>0</v>
      </c>
      <c r="K39" s="437">
        <v>0</v>
      </c>
      <c r="L39" s="56">
        <f t="shared" si="5"/>
        <v>0</v>
      </c>
      <c r="M39" s="430">
        <f t="shared" si="6"/>
        <v>0</v>
      </c>
      <c r="N39" s="37"/>
      <c r="O39" s="37"/>
      <c r="S39" s="39"/>
      <c r="T39" s="39"/>
      <c r="U39" s="39"/>
    </row>
    <row r="40" spans="1:21" s="38" customFormat="1" ht="16.5" thickBot="1" x14ac:dyDescent="0.3">
      <c r="A40" s="53"/>
      <c r="B40" s="53"/>
      <c r="C40" s="53"/>
      <c r="D40" s="131"/>
      <c r="E40" s="53"/>
      <c r="F40" s="58" t="s">
        <v>524</v>
      </c>
      <c r="G40" s="60" t="s">
        <v>59</v>
      </c>
      <c r="H40" s="438">
        <v>2</v>
      </c>
      <c r="I40" s="55"/>
      <c r="J40" s="55"/>
      <c r="K40" s="437">
        <f>('Quote comparison'!F37)*H40</f>
        <v>3500</v>
      </c>
      <c r="L40" s="56"/>
      <c r="M40" s="431"/>
      <c r="N40" s="37"/>
      <c r="O40" s="37"/>
      <c r="S40" s="39"/>
      <c r="T40" s="39"/>
      <c r="U40" s="39"/>
    </row>
    <row r="41" spans="1:21" s="38" customFormat="1" ht="16.5" thickBot="1" x14ac:dyDescent="0.3">
      <c r="A41" s="53"/>
      <c r="B41" s="53"/>
      <c r="C41" s="53"/>
      <c r="D41" s="131"/>
      <c r="E41" s="53"/>
      <c r="F41" s="58" t="s">
        <v>501</v>
      </c>
      <c r="G41" s="60" t="s">
        <v>77</v>
      </c>
      <c r="H41" s="438">
        <v>2</v>
      </c>
      <c r="I41" s="55">
        <f>3500*H41</f>
        <v>7000</v>
      </c>
      <c r="J41" s="55">
        <f>N41*O41*P41*Q41</f>
        <v>8063.0399999999991</v>
      </c>
      <c r="K41" s="437">
        <f>I41+J41</f>
        <v>15063.039999999999</v>
      </c>
      <c r="L41" s="56">
        <f t="shared" ref="L41:L62" si="7">K41/$K$101</f>
        <v>2.6668312921634157E-2</v>
      </c>
      <c r="M41" s="430">
        <f t="shared" si="6"/>
        <v>7531.5199999999995</v>
      </c>
      <c r="N41" s="76">
        <v>2</v>
      </c>
      <c r="O41" s="77">
        <f>2+2+2</f>
        <v>6</v>
      </c>
      <c r="P41" s="76">
        <v>8</v>
      </c>
      <c r="Q41" s="78">
        <v>83.99</v>
      </c>
      <c r="R41" s="76" t="s">
        <v>367</v>
      </c>
      <c r="S41" s="39"/>
      <c r="T41" s="39"/>
      <c r="U41" s="39"/>
    </row>
    <row r="42" spans="1:21" s="38" customFormat="1" ht="16.5" hidden="1" thickBot="1" x14ac:dyDescent="0.3">
      <c r="A42" s="53"/>
      <c r="B42" s="53"/>
      <c r="C42" s="53"/>
      <c r="D42" s="131"/>
      <c r="E42" s="53"/>
      <c r="F42" s="58" t="s">
        <v>504</v>
      </c>
      <c r="G42" s="60" t="s">
        <v>503</v>
      </c>
      <c r="H42" s="438">
        <v>6120</v>
      </c>
      <c r="I42" s="55"/>
      <c r="J42" s="55"/>
      <c r="K42" s="226">
        <v>0</v>
      </c>
      <c r="L42" s="56">
        <f t="shared" si="7"/>
        <v>0</v>
      </c>
      <c r="M42" s="430"/>
      <c r="N42" s="410"/>
      <c r="O42" s="411"/>
      <c r="P42" s="410"/>
      <c r="Q42" s="412"/>
      <c r="R42" s="410"/>
      <c r="S42" s="39"/>
      <c r="T42" s="39"/>
      <c r="U42" s="39"/>
    </row>
    <row r="43" spans="1:21" s="38" customFormat="1" ht="16.5" thickBot="1" x14ac:dyDescent="0.3">
      <c r="A43" s="53"/>
      <c r="B43" s="53"/>
      <c r="C43" s="53"/>
      <c r="D43" s="131"/>
      <c r="E43" s="53"/>
      <c r="F43" s="69" t="s">
        <v>82</v>
      </c>
      <c r="G43" s="53"/>
      <c r="H43" s="131"/>
      <c r="I43" s="55"/>
      <c r="J43" s="55"/>
      <c r="K43" s="55"/>
      <c r="L43" s="56">
        <f t="shared" si="7"/>
        <v>0</v>
      </c>
      <c r="M43" s="430"/>
      <c r="N43" s="37"/>
      <c r="S43" s="39"/>
      <c r="T43" s="39"/>
      <c r="U43" s="39"/>
    </row>
    <row r="44" spans="1:21" s="38" customFormat="1" ht="16.5" thickBot="1" x14ac:dyDescent="0.3">
      <c r="A44" s="53"/>
      <c r="B44" s="53"/>
      <c r="C44" s="53"/>
      <c r="D44" s="53"/>
      <c r="E44" s="53"/>
      <c r="F44" s="80" t="s">
        <v>129</v>
      </c>
      <c r="G44" s="53" t="s">
        <v>54</v>
      </c>
      <c r="H44" s="53">
        <v>1</v>
      </c>
      <c r="I44" s="55">
        <v>0</v>
      </c>
      <c r="J44" s="55">
        <v>2000</v>
      </c>
      <c r="K44" s="55">
        <f>J44+I44</f>
        <v>2000</v>
      </c>
      <c r="L44" s="56">
        <f t="shared" si="7"/>
        <v>3.540893859623842E-3</v>
      </c>
      <c r="M44" s="430"/>
      <c r="N44" s="37"/>
      <c r="S44" s="39"/>
      <c r="T44" s="39"/>
      <c r="U44" s="39"/>
    </row>
    <row r="45" spans="1:21" s="38" customFormat="1" ht="19.5" hidden="1" thickBot="1" x14ac:dyDescent="0.3">
      <c r="A45" s="53"/>
      <c r="B45" s="53"/>
      <c r="C45" s="53"/>
      <c r="D45" s="53"/>
      <c r="E45" s="53"/>
      <c r="F45" s="124" t="s">
        <v>83</v>
      </c>
      <c r="G45" s="53"/>
      <c r="H45" s="53"/>
      <c r="I45" s="55"/>
      <c r="J45" s="55"/>
      <c r="K45" s="55"/>
      <c r="L45" s="56">
        <f t="shared" si="7"/>
        <v>0</v>
      </c>
      <c r="M45" s="430"/>
      <c r="N45" s="37"/>
      <c r="S45" s="39"/>
      <c r="T45" s="39"/>
      <c r="U45" s="39"/>
    </row>
    <row r="46" spans="1:21" s="38" customFormat="1" ht="48" hidden="1" thickBot="1" x14ac:dyDescent="0.3">
      <c r="A46" s="53"/>
      <c r="B46" s="53"/>
      <c r="C46" s="53"/>
      <c r="D46" s="53"/>
      <c r="E46" s="53"/>
      <c r="F46" s="75" t="s">
        <v>112</v>
      </c>
      <c r="G46" s="53" t="s">
        <v>54</v>
      </c>
      <c r="H46" s="60">
        <v>1</v>
      </c>
      <c r="I46" s="55">
        <v>0</v>
      </c>
      <c r="J46" s="55">
        <v>0</v>
      </c>
      <c r="K46" s="55">
        <v>0</v>
      </c>
      <c r="L46" s="56">
        <f t="shared" si="7"/>
        <v>0</v>
      </c>
      <c r="M46" s="430"/>
      <c r="N46" s="37"/>
      <c r="S46" s="39"/>
      <c r="T46" s="39"/>
      <c r="U46" s="39"/>
    </row>
    <row r="47" spans="1:21" s="38" customFormat="1" ht="63.75" hidden="1" thickBot="1" x14ac:dyDescent="0.3">
      <c r="A47" s="53"/>
      <c r="B47" s="53"/>
      <c r="C47" s="53"/>
      <c r="D47" s="53"/>
      <c r="E47" s="53"/>
      <c r="F47" s="75" t="s">
        <v>113</v>
      </c>
      <c r="G47" s="53" t="s">
        <v>54</v>
      </c>
      <c r="H47" s="60">
        <v>1</v>
      </c>
      <c r="I47" s="55">
        <v>0</v>
      </c>
      <c r="J47" s="55">
        <v>0</v>
      </c>
      <c r="K47" s="55">
        <v>0</v>
      </c>
      <c r="L47" s="56">
        <f t="shared" si="7"/>
        <v>0</v>
      </c>
      <c r="M47" s="430"/>
      <c r="N47" s="37"/>
      <c r="S47" s="39"/>
      <c r="T47" s="39"/>
      <c r="U47" s="39"/>
    </row>
    <row r="48" spans="1:21" s="38" customFormat="1" ht="200.25" hidden="1" customHeight="1" thickBot="1" x14ac:dyDescent="0.3">
      <c r="A48" s="53"/>
      <c r="B48" s="53"/>
      <c r="C48" s="53"/>
      <c r="D48" s="53"/>
      <c r="E48" s="53"/>
      <c r="F48" s="75" t="s">
        <v>114</v>
      </c>
      <c r="G48" s="53" t="s">
        <v>54</v>
      </c>
      <c r="H48" s="60">
        <v>1</v>
      </c>
      <c r="I48" s="55">
        <v>0</v>
      </c>
      <c r="J48" s="55">
        <v>0</v>
      </c>
      <c r="K48" s="55">
        <f t="shared" ref="K48:K51" si="8">J48+I48</f>
        <v>0</v>
      </c>
      <c r="L48" s="56">
        <f t="shared" si="7"/>
        <v>0</v>
      </c>
      <c r="M48" s="430"/>
      <c r="N48" s="37"/>
      <c r="S48" s="39"/>
      <c r="T48" s="39"/>
      <c r="U48" s="39"/>
    </row>
    <row r="49" spans="1:21" s="38" customFormat="1" ht="32.25" hidden="1" thickBot="1" x14ac:dyDescent="0.3">
      <c r="A49" s="53"/>
      <c r="B49" s="53"/>
      <c r="C49" s="53"/>
      <c r="D49" s="53"/>
      <c r="E49" s="53"/>
      <c r="F49" s="75" t="s">
        <v>115</v>
      </c>
      <c r="G49" s="53" t="s">
        <v>54</v>
      </c>
      <c r="H49" s="60">
        <v>1</v>
      </c>
      <c r="I49" s="55">
        <v>0</v>
      </c>
      <c r="J49" s="55">
        <v>0</v>
      </c>
      <c r="K49" s="55">
        <f t="shared" si="8"/>
        <v>0</v>
      </c>
      <c r="L49" s="56">
        <f t="shared" si="7"/>
        <v>0</v>
      </c>
      <c r="M49" s="430"/>
      <c r="N49" s="37"/>
      <c r="S49" s="39"/>
      <c r="T49" s="39"/>
      <c r="U49" s="39"/>
    </row>
    <row r="50" spans="1:21" s="38" customFormat="1" ht="158.25" hidden="1" thickBot="1" x14ac:dyDescent="0.3">
      <c r="A50" s="53"/>
      <c r="B50" s="53"/>
      <c r="C50" s="53"/>
      <c r="D50" s="53"/>
      <c r="E50" s="53"/>
      <c r="F50" s="75" t="s">
        <v>116</v>
      </c>
      <c r="G50" s="53" t="s">
        <v>54</v>
      </c>
      <c r="H50" s="60">
        <v>1</v>
      </c>
      <c r="I50" s="55">
        <v>0</v>
      </c>
      <c r="J50" s="55">
        <v>0</v>
      </c>
      <c r="K50" s="55">
        <f t="shared" si="8"/>
        <v>0</v>
      </c>
      <c r="L50" s="56">
        <f t="shared" si="7"/>
        <v>0</v>
      </c>
      <c r="M50" s="430"/>
      <c r="N50" s="37"/>
      <c r="S50" s="39"/>
      <c r="T50" s="39"/>
      <c r="U50" s="39"/>
    </row>
    <row r="51" spans="1:21" s="38" customFormat="1" ht="48" hidden="1" thickBot="1" x14ac:dyDescent="0.3">
      <c r="A51" s="53"/>
      <c r="B51" s="53"/>
      <c r="C51" s="53"/>
      <c r="D51" s="53"/>
      <c r="E51" s="53"/>
      <c r="F51" s="75" t="s">
        <v>117</v>
      </c>
      <c r="G51" s="53" t="s">
        <v>54</v>
      </c>
      <c r="H51" s="60">
        <v>1</v>
      </c>
      <c r="I51" s="55">
        <v>0</v>
      </c>
      <c r="J51" s="55">
        <v>0</v>
      </c>
      <c r="K51" s="55">
        <f t="shared" si="8"/>
        <v>0</v>
      </c>
      <c r="L51" s="56">
        <f t="shared" si="7"/>
        <v>0</v>
      </c>
      <c r="M51" s="430"/>
      <c r="N51" s="37"/>
      <c r="S51" s="39"/>
      <c r="T51" s="39"/>
      <c r="U51" s="39"/>
    </row>
    <row r="52" spans="1:21" s="38" customFormat="1" ht="79.5" hidden="1" thickBot="1" x14ac:dyDescent="0.3">
      <c r="A52" s="53"/>
      <c r="B52" s="53"/>
      <c r="C52" s="53"/>
      <c r="D52" s="53"/>
      <c r="E52" s="53"/>
      <c r="F52" s="75" t="s">
        <v>118</v>
      </c>
      <c r="G52" s="53" t="s">
        <v>54</v>
      </c>
      <c r="H52" s="60">
        <v>1</v>
      </c>
      <c r="I52" s="55">
        <v>0</v>
      </c>
      <c r="J52" s="55">
        <v>0</v>
      </c>
      <c r="K52" s="55">
        <v>0</v>
      </c>
      <c r="L52" s="56">
        <f t="shared" si="7"/>
        <v>0</v>
      </c>
      <c r="M52" s="430"/>
      <c r="N52" s="37"/>
      <c r="S52" s="39"/>
      <c r="T52" s="39"/>
      <c r="U52" s="39"/>
    </row>
    <row r="53" spans="1:21" s="38" customFormat="1" ht="63.75" hidden="1" thickBot="1" x14ac:dyDescent="0.3">
      <c r="A53" s="53"/>
      <c r="B53" s="53"/>
      <c r="C53" s="53"/>
      <c r="D53" s="53"/>
      <c r="E53" s="53"/>
      <c r="F53" s="75" t="s">
        <v>119</v>
      </c>
      <c r="G53" s="53" t="s">
        <v>54</v>
      </c>
      <c r="H53" s="60">
        <v>1</v>
      </c>
      <c r="I53" s="55">
        <v>0</v>
      </c>
      <c r="J53" s="55">
        <v>0</v>
      </c>
      <c r="K53" s="55">
        <v>0</v>
      </c>
      <c r="L53" s="56">
        <f t="shared" si="7"/>
        <v>0</v>
      </c>
      <c r="M53" s="430"/>
      <c r="N53" s="37"/>
      <c r="S53" s="39"/>
      <c r="T53" s="39"/>
      <c r="U53" s="39"/>
    </row>
    <row r="54" spans="1:21" ht="19.5" hidden="1" thickBot="1" x14ac:dyDescent="0.3">
      <c r="A54" s="53"/>
      <c r="B54" s="53"/>
      <c r="C54" s="53"/>
      <c r="D54" s="53"/>
      <c r="E54" s="53"/>
      <c r="F54" s="125" t="s">
        <v>120</v>
      </c>
      <c r="G54" s="53"/>
      <c r="H54" s="60"/>
      <c r="I54" s="55"/>
      <c r="J54" s="55"/>
      <c r="K54" s="55"/>
      <c r="L54" s="56">
        <f t="shared" si="7"/>
        <v>0</v>
      </c>
      <c r="M54" s="430"/>
    </row>
    <row r="55" spans="1:21" ht="66" hidden="1" customHeight="1" thickBot="1" x14ac:dyDescent="0.3">
      <c r="A55" s="53"/>
      <c r="B55" s="53"/>
      <c r="C55" s="53"/>
      <c r="D55" s="53"/>
      <c r="E55" s="53"/>
      <c r="F55" s="75" t="s">
        <v>121</v>
      </c>
      <c r="G55" s="53" t="s">
        <v>54</v>
      </c>
      <c r="H55" s="60">
        <v>1</v>
      </c>
      <c r="I55" s="55">
        <v>0</v>
      </c>
      <c r="J55" s="55">
        <v>0</v>
      </c>
      <c r="K55" s="55">
        <v>0</v>
      </c>
      <c r="L55" s="56">
        <f t="shared" si="7"/>
        <v>0</v>
      </c>
      <c r="M55" s="430"/>
    </row>
    <row r="56" spans="1:21" ht="32.25" hidden="1" thickBot="1" x14ac:dyDescent="0.3">
      <c r="A56" s="53"/>
      <c r="B56" s="53"/>
      <c r="C56" s="53"/>
      <c r="D56" s="53"/>
      <c r="E56" s="53"/>
      <c r="F56" s="75" t="s">
        <v>122</v>
      </c>
      <c r="G56" s="53" t="s">
        <v>54</v>
      </c>
      <c r="H56" s="60">
        <v>1</v>
      </c>
      <c r="I56" s="55">
        <v>0</v>
      </c>
      <c r="J56" s="55">
        <v>0</v>
      </c>
      <c r="K56" s="55">
        <f>J56+I56</f>
        <v>0</v>
      </c>
      <c r="L56" s="56">
        <f t="shared" si="7"/>
        <v>0</v>
      </c>
      <c r="M56" s="430"/>
    </row>
    <row r="57" spans="1:21" ht="35.25" hidden="1" customHeight="1" thickBot="1" x14ac:dyDescent="0.3">
      <c r="A57" s="53"/>
      <c r="B57" s="53"/>
      <c r="C57" s="53"/>
      <c r="D57" s="53"/>
      <c r="E57" s="53"/>
      <c r="F57" s="75" t="s">
        <v>123</v>
      </c>
      <c r="G57" s="53" t="s">
        <v>54</v>
      </c>
      <c r="H57" s="60">
        <v>1</v>
      </c>
      <c r="I57" s="55">
        <v>0</v>
      </c>
      <c r="J57" s="55">
        <v>500</v>
      </c>
      <c r="K57" s="55">
        <f>J57+I57</f>
        <v>500</v>
      </c>
      <c r="L57" s="56">
        <f t="shared" si="7"/>
        <v>8.8522346490596049E-4</v>
      </c>
      <c r="M57" s="430"/>
    </row>
    <row r="58" spans="1:21" ht="17.25" hidden="1" customHeight="1" thickBot="1" x14ac:dyDescent="0.3">
      <c r="A58" s="53"/>
      <c r="B58" s="53"/>
      <c r="C58" s="53"/>
      <c r="D58" s="53"/>
      <c r="E58" s="53"/>
      <c r="F58" s="124" t="s">
        <v>2</v>
      </c>
      <c r="G58" s="53"/>
      <c r="H58" s="53"/>
      <c r="I58" s="55"/>
      <c r="J58" s="55">
        <f t="shared" ref="J58" si="9">K58</f>
        <v>0</v>
      </c>
      <c r="K58" s="55"/>
      <c r="L58" s="56">
        <f t="shared" si="7"/>
        <v>0</v>
      </c>
      <c r="M58" s="430"/>
    </row>
    <row r="59" spans="1:21" ht="45.75" hidden="1" customHeight="1" thickBot="1" x14ac:dyDescent="0.3">
      <c r="A59" s="53"/>
      <c r="B59" s="53"/>
      <c r="C59" s="53"/>
      <c r="D59" s="53"/>
      <c r="E59" s="53"/>
      <c r="F59" s="80" t="s">
        <v>109</v>
      </c>
      <c r="G59" s="53" t="s">
        <v>54</v>
      </c>
      <c r="H59" s="60">
        <v>1</v>
      </c>
      <c r="I59" s="55">
        <v>0</v>
      </c>
      <c r="J59" s="55">
        <v>0</v>
      </c>
      <c r="K59" s="55">
        <f>J59+I59</f>
        <v>0</v>
      </c>
      <c r="L59" s="56">
        <f t="shared" si="7"/>
        <v>0</v>
      </c>
      <c r="M59" s="430"/>
    </row>
    <row r="60" spans="1:21" ht="35.25" hidden="1" customHeight="1" thickBot="1" x14ac:dyDescent="0.3">
      <c r="A60" s="53"/>
      <c r="B60" s="53"/>
      <c r="C60" s="53"/>
      <c r="D60" s="53"/>
      <c r="E60" s="53"/>
      <c r="F60" s="80" t="s">
        <v>110</v>
      </c>
      <c r="G60" s="53" t="s">
        <v>54</v>
      </c>
      <c r="H60" s="60">
        <v>1</v>
      </c>
      <c r="I60" s="55">
        <v>0</v>
      </c>
      <c r="J60" s="55">
        <v>0</v>
      </c>
      <c r="K60" s="55">
        <f>J60+I60</f>
        <v>0</v>
      </c>
      <c r="L60" s="56">
        <f t="shared" si="7"/>
        <v>0</v>
      </c>
      <c r="M60" s="430"/>
    </row>
    <row r="61" spans="1:21" ht="35.25" hidden="1" customHeight="1" thickBot="1" x14ac:dyDescent="0.3">
      <c r="A61" s="53"/>
      <c r="B61" s="53"/>
      <c r="C61" s="53"/>
      <c r="D61" s="53"/>
      <c r="E61" s="53"/>
      <c r="F61" s="80" t="s">
        <v>111</v>
      </c>
      <c r="G61" s="53" t="s">
        <v>54</v>
      </c>
      <c r="H61" s="60">
        <v>1</v>
      </c>
      <c r="I61" s="55">
        <v>0</v>
      </c>
      <c r="J61" s="55">
        <v>0</v>
      </c>
      <c r="K61" s="55">
        <f>J61+I61</f>
        <v>0</v>
      </c>
      <c r="L61" s="56">
        <f t="shared" si="7"/>
        <v>0</v>
      </c>
      <c r="M61" s="430"/>
    </row>
    <row r="62" spans="1:21" ht="16.5" thickBot="1" x14ac:dyDescent="0.3">
      <c r="A62" s="53"/>
      <c r="B62" s="53"/>
      <c r="C62" s="53"/>
      <c r="D62" s="53"/>
      <c r="E62" s="53"/>
      <c r="F62" s="75"/>
      <c r="G62" s="53"/>
      <c r="H62" s="79"/>
      <c r="I62" s="55"/>
      <c r="J62" s="81"/>
      <c r="K62" s="55"/>
      <c r="L62" s="56">
        <f t="shared" si="7"/>
        <v>0</v>
      </c>
      <c r="M62" s="430"/>
      <c r="N62" s="76"/>
      <c r="O62" s="77"/>
      <c r="P62" s="76"/>
      <c r="Q62" s="78"/>
      <c r="R62" s="76"/>
    </row>
    <row r="63" spans="1:21" ht="16.5" thickBot="1" x14ac:dyDescent="0.3">
      <c r="A63" s="53"/>
      <c r="B63" s="53"/>
      <c r="C63" s="53"/>
      <c r="D63" s="53"/>
      <c r="E63" s="53"/>
      <c r="F63" s="63"/>
      <c r="G63" s="53"/>
      <c r="H63" s="64" t="s">
        <v>62</v>
      </c>
      <c r="I63" s="65">
        <f>SUM(I29:I62)</f>
        <v>22007.142857142859</v>
      </c>
      <c r="J63" s="65">
        <f>SUM(J29:J62)</f>
        <v>28171.165714285715</v>
      </c>
      <c r="K63" s="66">
        <f>SUM(K29:K62)</f>
        <v>332078.30857142853</v>
      </c>
      <c r="L63" s="56"/>
      <c r="M63" s="56">
        <f>K63/$K$101</f>
        <v>0.58792702186742141</v>
      </c>
      <c r="N63" s="84"/>
    </row>
    <row r="64" spans="1:21" ht="23.25" thickBot="1" x14ac:dyDescent="0.3">
      <c r="A64" s="50"/>
      <c r="B64" s="50"/>
      <c r="C64" s="50"/>
      <c r="D64" s="85"/>
      <c r="E64" s="85"/>
      <c r="F64" s="85" t="s">
        <v>24</v>
      </c>
      <c r="G64" s="85"/>
      <c r="H64" s="85"/>
      <c r="I64" s="86"/>
      <c r="J64" s="86"/>
      <c r="K64" s="86"/>
      <c r="L64" s="56">
        <f t="shared" ref="L64:L71" si="10">K64/$K$101</f>
        <v>0</v>
      </c>
      <c r="M64" s="87"/>
    </row>
    <row r="65" spans="1:18" s="38" customFormat="1" ht="32.25" thickBot="1" x14ac:dyDescent="0.3">
      <c r="A65" s="60"/>
      <c r="B65" s="60" t="s">
        <v>84</v>
      </c>
      <c r="C65" s="53" t="s">
        <v>85</v>
      </c>
      <c r="D65" s="53"/>
      <c r="E65" s="53"/>
      <c r="F65" s="75" t="s">
        <v>402</v>
      </c>
      <c r="G65" s="53" t="s">
        <v>77</v>
      </c>
      <c r="H65" s="79">
        <v>6</v>
      </c>
      <c r="I65" s="88">
        <f t="shared" ref="I65:I71" si="11">J65*0.2</f>
        <v>806.30399999999997</v>
      </c>
      <c r="J65" s="88">
        <f t="shared" ref="J65:J70" si="12">N65*O65*P65*Q65</f>
        <v>4031.5199999999995</v>
      </c>
      <c r="K65" s="55">
        <f t="shared" ref="K65:K71" si="13">I65+J65</f>
        <v>4837.8239999999996</v>
      </c>
      <c r="L65" s="56">
        <f t="shared" si="10"/>
        <v>8.5651106477704266E-3</v>
      </c>
      <c r="M65" s="83">
        <f t="shared" ref="M65:M71" si="14">K65/H65</f>
        <v>806.30399999999997</v>
      </c>
      <c r="N65" s="76">
        <v>2</v>
      </c>
      <c r="O65" s="77">
        <v>3</v>
      </c>
      <c r="P65" s="76">
        <v>8</v>
      </c>
      <c r="Q65" s="78">
        <v>83.99</v>
      </c>
      <c r="R65" s="76" t="s">
        <v>367</v>
      </c>
    </row>
    <row r="66" spans="1:18" s="38" customFormat="1" ht="32.25" thickBot="1" x14ac:dyDescent="0.3">
      <c r="A66" s="60"/>
      <c r="B66" s="60" t="s">
        <v>87</v>
      </c>
      <c r="C66" s="60" t="s">
        <v>85</v>
      </c>
      <c r="D66" s="60"/>
      <c r="E66" s="60"/>
      <c r="F66" s="75" t="s">
        <v>403</v>
      </c>
      <c r="G66" s="90" t="s">
        <v>88</v>
      </c>
      <c r="H66" s="92">
        <v>7</v>
      </c>
      <c r="I66" s="88">
        <f t="shared" si="11"/>
        <v>268.76799999999997</v>
      </c>
      <c r="J66" s="88">
        <f t="shared" si="12"/>
        <v>1343.84</v>
      </c>
      <c r="K66" s="55">
        <f t="shared" si="13"/>
        <v>1612.6079999999999</v>
      </c>
      <c r="L66" s="56">
        <f t="shared" si="10"/>
        <v>2.8550368825901425E-3</v>
      </c>
      <c r="M66" s="83">
        <f t="shared" si="14"/>
        <v>230.37257142857143</v>
      </c>
      <c r="N66" s="76">
        <v>2</v>
      </c>
      <c r="O66" s="77">
        <v>1</v>
      </c>
      <c r="P66" s="76">
        <v>8</v>
      </c>
      <c r="Q66" s="78">
        <v>83.99</v>
      </c>
      <c r="R66" s="76" t="s">
        <v>367</v>
      </c>
    </row>
    <row r="67" spans="1:18" s="38" customFormat="1" ht="79.5" thickBot="1" x14ac:dyDescent="0.3">
      <c r="A67" s="60"/>
      <c r="B67" s="60" t="s">
        <v>89</v>
      </c>
      <c r="C67" s="60" t="s">
        <v>90</v>
      </c>
      <c r="D67" s="60"/>
      <c r="E67" s="60"/>
      <c r="F67" s="75" t="s">
        <v>404</v>
      </c>
      <c r="G67" s="90" t="s">
        <v>88</v>
      </c>
      <c r="H67" s="93">
        <v>15</v>
      </c>
      <c r="I67" s="88">
        <f t="shared" si="11"/>
        <v>268.76799999999997</v>
      </c>
      <c r="J67" s="88">
        <f t="shared" si="12"/>
        <v>1343.84</v>
      </c>
      <c r="K67" s="55">
        <f t="shared" si="13"/>
        <v>1612.6079999999999</v>
      </c>
      <c r="L67" s="56">
        <f t="shared" si="10"/>
        <v>2.8550368825901425E-3</v>
      </c>
      <c r="M67" s="83">
        <f t="shared" si="14"/>
        <v>107.5072</v>
      </c>
      <c r="N67" s="76">
        <v>2</v>
      </c>
      <c r="O67" s="77">
        <v>1</v>
      </c>
      <c r="P67" s="76">
        <v>8</v>
      </c>
      <c r="Q67" s="78">
        <v>83.99</v>
      </c>
      <c r="R67" s="76" t="s">
        <v>367</v>
      </c>
    </row>
    <row r="68" spans="1:18" s="38" customFormat="1" ht="48" thickBot="1" x14ac:dyDescent="0.3">
      <c r="A68" s="60"/>
      <c r="B68" s="60" t="s">
        <v>91</v>
      </c>
      <c r="C68" s="60" t="s">
        <v>92</v>
      </c>
      <c r="D68" s="60"/>
      <c r="E68" s="60"/>
      <c r="F68" s="75" t="s">
        <v>405</v>
      </c>
      <c r="G68" s="90" t="s">
        <v>79</v>
      </c>
      <c r="H68" s="92">
        <v>198</v>
      </c>
      <c r="I68" s="88">
        <f t="shared" si="11"/>
        <v>1333.248</v>
      </c>
      <c r="J68" s="88">
        <f t="shared" si="12"/>
        <v>6666.24</v>
      </c>
      <c r="K68" s="55">
        <f t="shared" si="13"/>
        <v>7999.4879999999994</v>
      </c>
      <c r="L68" s="56">
        <f t="shared" si="10"/>
        <v>1.4162668969667305E-2</v>
      </c>
      <c r="M68" s="83">
        <f t="shared" si="14"/>
        <v>40.401454545454541</v>
      </c>
      <c r="N68" s="76">
        <v>2</v>
      </c>
      <c r="O68" s="77">
        <v>4</v>
      </c>
      <c r="P68" s="76">
        <v>8</v>
      </c>
      <c r="Q68" s="78">
        <v>104.16</v>
      </c>
      <c r="R68" s="76" t="s">
        <v>369</v>
      </c>
    </row>
    <row r="69" spans="1:18" s="38" customFormat="1" ht="48" thickBot="1" x14ac:dyDescent="0.3">
      <c r="A69" s="60"/>
      <c r="B69" s="60" t="s">
        <v>93</v>
      </c>
      <c r="C69" s="60" t="s">
        <v>92</v>
      </c>
      <c r="D69" s="60"/>
      <c r="E69" s="60"/>
      <c r="F69" s="128" t="s">
        <v>406</v>
      </c>
      <c r="G69" s="434" t="s">
        <v>88</v>
      </c>
      <c r="H69" s="435">
        <v>25</v>
      </c>
      <c r="I69" s="436">
        <f t="shared" si="11"/>
        <v>666.62400000000002</v>
      </c>
      <c r="J69" s="88">
        <f t="shared" si="12"/>
        <v>3333.12</v>
      </c>
      <c r="K69" s="55">
        <f t="shared" si="13"/>
        <v>3999.7439999999997</v>
      </c>
      <c r="L69" s="56">
        <f t="shared" si="10"/>
        <v>7.0813344848336523E-3</v>
      </c>
      <c r="M69" s="83">
        <f t="shared" si="14"/>
        <v>159.98975999999999</v>
      </c>
      <c r="N69" s="76">
        <v>2</v>
      </c>
      <c r="O69" s="77">
        <v>2</v>
      </c>
      <c r="P69" s="76">
        <v>8</v>
      </c>
      <c r="Q69" s="78">
        <v>104.16</v>
      </c>
      <c r="R69" s="76" t="s">
        <v>369</v>
      </c>
    </row>
    <row r="70" spans="1:18" s="38" customFormat="1" ht="48" thickBot="1" x14ac:dyDescent="0.3">
      <c r="A70" s="60"/>
      <c r="B70" s="60" t="s">
        <v>94</v>
      </c>
      <c r="C70" s="60" t="s">
        <v>95</v>
      </c>
      <c r="D70" s="60"/>
      <c r="E70" s="60"/>
      <c r="F70" s="75" t="s">
        <v>407</v>
      </c>
      <c r="G70" s="90" t="s">
        <v>77</v>
      </c>
      <c r="H70" s="92">
        <v>7</v>
      </c>
      <c r="I70" s="88">
        <f t="shared" si="11"/>
        <v>537.53599999999994</v>
      </c>
      <c r="J70" s="88">
        <f t="shared" si="12"/>
        <v>2687.68</v>
      </c>
      <c r="K70" s="55">
        <f t="shared" si="13"/>
        <v>3225.2159999999999</v>
      </c>
      <c r="L70" s="56">
        <f t="shared" si="10"/>
        <v>5.710073765180285E-3</v>
      </c>
      <c r="M70" s="83">
        <f t="shared" si="14"/>
        <v>460.74514285714287</v>
      </c>
      <c r="N70" s="76">
        <v>2</v>
      </c>
      <c r="O70" s="77">
        <v>2</v>
      </c>
      <c r="P70" s="76">
        <v>8</v>
      </c>
      <c r="Q70" s="78">
        <v>83.99</v>
      </c>
      <c r="R70" s="76" t="s">
        <v>367</v>
      </c>
    </row>
    <row r="71" spans="1:18" s="38" customFormat="1" ht="48" thickBot="1" x14ac:dyDescent="0.3">
      <c r="A71" s="60"/>
      <c r="B71" s="60" t="s">
        <v>96</v>
      </c>
      <c r="C71" s="60" t="s">
        <v>95</v>
      </c>
      <c r="D71" s="60"/>
      <c r="E71" s="60"/>
      <c r="F71" s="75" t="s">
        <v>408</v>
      </c>
      <c r="G71" s="90" t="s">
        <v>97</v>
      </c>
      <c r="H71" s="92">
        <v>340</v>
      </c>
      <c r="I71" s="88">
        <f t="shared" si="11"/>
        <v>537.53599999999994</v>
      </c>
      <c r="J71" s="88">
        <f>N71*O71*P71*Q71</f>
        <v>2687.68</v>
      </c>
      <c r="K71" s="55">
        <f t="shared" si="13"/>
        <v>3225.2159999999999</v>
      </c>
      <c r="L71" s="56">
        <f t="shared" si="10"/>
        <v>5.710073765180285E-3</v>
      </c>
      <c r="M71" s="83">
        <f t="shared" si="14"/>
        <v>9.4859294117647064</v>
      </c>
      <c r="N71" s="76">
        <v>2</v>
      </c>
      <c r="O71" s="77">
        <v>2</v>
      </c>
      <c r="P71" s="76">
        <v>8</v>
      </c>
      <c r="Q71" s="78">
        <v>83.99</v>
      </c>
      <c r="R71" s="76" t="s">
        <v>367</v>
      </c>
    </row>
    <row r="72" spans="1:18" ht="16.5" thickBot="1" x14ac:dyDescent="0.3">
      <c r="A72" s="53"/>
      <c r="B72" s="53"/>
      <c r="C72" s="53"/>
      <c r="D72" s="53"/>
      <c r="E72" s="53"/>
      <c r="F72" s="63"/>
      <c r="G72" s="95"/>
      <c r="H72" s="64" t="s">
        <v>62</v>
      </c>
      <c r="I72" s="65">
        <f>SUM(I65:I71)</f>
        <v>4418.7839999999997</v>
      </c>
      <c r="J72" s="65">
        <f>SUM(J65:J71)</f>
        <v>22093.919999999998</v>
      </c>
      <c r="K72" s="66">
        <f>SUM(K65:K71)</f>
        <v>26512.703999999998</v>
      </c>
      <c r="L72" s="56"/>
      <c r="M72" s="56">
        <f>K72/$K$101</f>
        <v>4.6939335397812233E-2</v>
      </c>
      <c r="N72" s="84"/>
    </row>
    <row r="73" spans="1:18" ht="21" thickBot="1" x14ac:dyDescent="0.3">
      <c r="A73" s="96"/>
      <c r="B73" s="70"/>
      <c r="C73" s="70"/>
      <c r="D73" s="70"/>
      <c r="E73" s="70"/>
      <c r="F73" s="71" t="s">
        <v>26</v>
      </c>
      <c r="G73" s="70"/>
      <c r="H73" s="70"/>
      <c r="I73" s="72"/>
      <c r="J73" s="72"/>
      <c r="K73" s="73"/>
      <c r="L73" s="56">
        <f>K73/$K$101</f>
        <v>0</v>
      </c>
      <c r="M73" s="83"/>
    </row>
    <row r="74" spans="1:18" s="38" customFormat="1" ht="79.5" thickBot="1" x14ac:dyDescent="0.3">
      <c r="A74" s="60"/>
      <c r="B74" s="60" t="s">
        <v>89</v>
      </c>
      <c r="C74" s="60" t="s">
        <v>90</v>
      </c>
      <c r="D74" s="60"/>
      <c r="E74" s="60"/>
      <c r="F74" s="75" t="s">
        <v>409</v>
      </c>
      <c r="G74" s="90" t="s">
        <v>88</v>
      </c>
      <c r="H74" s="93">
        <v>15</v>
      </c>
      <c r="I74" s="97">
        <f>BOM!L89</f>
        <v>9885.5097000000005</v>
      </c>
      <c r="J74" s="81">
        <f t="shared" ref="J74" si="15">N74*O74*P74*Q74</f>
        <v>3328.96</v>
      </c>
      <c r="K74" s="55">
        <f t="shared" ref="K74" si="16">I74+J74</f>
        <v>13214.469700000001</v>
      </c>
      <c r="L74" s="56">
        <f>K74/$K$101</f>
        <v>2.3395517309457662E-2</v>
      </c>
      <c r="M74" s="83">
        <f t="shared" ref="M74" si="17">K74/H74</f>
        <v>880.96464666666679</v>
      </c>
      <c r="N74" s="76">
        <v>2</v>
      </c>
      <c r="O74" s="77">
        <v>2</v>
      </c>
      <c r="P74" s="76">
        <v>8</v>
      </c>
      <c r="Q74" s="78">
        <v>104.03</v>
      </c>
      <c r="R74" s="76" t="s">
        <v>368</v>
      </c>
    </row>
    <row r="75" spans="1:18" ht="16.5" thickBot="1" x14ac:dyDescent="0.3">
      <c r="A75" s="53"/>
      <c r="B75" s="53"/>
      <c r="C75" s="53"/>
      <c r="D75" s="53"/>
      <c r="E75" s="53"/>
      <c r="F75" s="63"/>
      <c r="G75" s="95"/>
      <c r="H75" s="64" t="s">
        <v>62</v>
      </c>
      <c r="I75" s="65">
        <f>SUM(I74:I74)</f>
        <v>9885.5097000000005</v>
      </c>
      <c r="J75" s="65">
        <f>SUM(J74:J74)</f>
        <v>3328.96</v>
      </c>
      <c r="K75" s="66">
        <f>SUM(K74:K74)</f>
        <v>13214.469700000001</v>
      </c>
      <c r="L75" s="56"/>
      <c r="M75" s="56">
        <f>K75/$K$101</f>
        <v>2.3395517309457662E-2</v>
      </c>
      <c r="N75" s="84"/>
    </row>
    <row r="76" spans="1:18" ht="21" thickBot="1" x14ac:dyDescent="0.3">
      <c r="A76" s="96"/>
      <c r="B76" s="70"/>
      <c r="C76" s="70"/>
      <c r="D76" s="70"/>
      <c r="E76" s="70"/>
      <c r="F76" s="71" t="s">
        <v>28</v>
      </c>
      <c r="G76" s="70"/>
      <c r="H76" s="70"/>
      <c r="I76" s="72"/>
      <c r="J76" s="72"/>
      <c r="K76" s="73"/>
      <c r="L76" s="56">
        <f t="shared" ref="L76:L81" si="18">K76/$K$101</f>
        <v>0</v>
      </c>
      <c r="M76" s="83"/>
    </row>
    <row r="77" spans="1:18" s="38" customFormat="1" ht="63.75" thickBot="1" x14ac:dyDescent="0.3">
      <c r="A77" s="60"/>
      <c r="B77" s="60" t="s">
        <v>87</v>
      </c>
      <c r="C77" s="60" t="s">
        <v>85</v>
      </c>
      <c r="D77" s="60"/>
      <c r="E77" s="60"/>
      <c r="F77" s="75" t="s">
        <v>410</v>
      </c>
      <c r="G77" s="90" t="s">
        <v>88</v>
      </c>
      <c r="H77" s="92">
        <v>7</v>
      </c>
      <c r="I77" s="81">
        <f>BOM!L103</f>
        <v>457.12819999999999</v>
      </c>
      <c r="J77" s="81">
        <f t="shared" ref="J77:J81" si="19">N77*O77*P77*Q77</f>
        <v>3328.96</v>
      </c>
      <c r="K77" s="55">
        <f t="shared" ref="K77:K81" si="20">I77+J77</f>
        <v>3786.0882000000001</v>
      </c>
      <c r="L77" s="56">
        <f t="shared" si="18"/>
        <v>6.703068229687143E-3</v>
      </c>
      <c r="M77" s="83">
        <f t="shared" ref="M77:M81" si="21">K77/H77</f>
        <v>540.86974285714291</v>
      </c>
      <c r="N77" s="76">
        <v>2</v>
      </c>
      <c r="O77" s="77">
        <v>2</v>
      </c>
      <c r="P77" s="76">
        <v>8</v>
      </c>
      <c r="Q77" s="78">
        <v>104.03</v>
      </c>
      <c r="R77" s="76" t="s">
        <v>368</v>
      </c>
    </row>
    <row r="78" spans="1:18" s="38" customFormat="1" ht="48" thickBot="1" x14ac:dyDescent="0.3">
      <c r="A78" s="60"/>
      <c r="B78" s="60" t="s">
        <v>91</v>
      </c>
      <c r="C78" s="60" t="s">
        <v>92</v>
      </c>
      <c r="D78" s="60"/>
      <c r="E78" s="60"/>
      <c r="F78" s="128" t="s">
        <v>411</v>
      </c>
      <c r="G78" s="434" t="s">
        <v>79</v>
      </c>
      <c r="H78" s="435">
        <v>198</v>
      </c>
      <c r="I78" s="81">
        <f>BOM!L109</f>
        <v>525.28</v>
      </c>
      <c r="J78" s="81">
        <f t="shared" si="19"/>
        <v>4999.68</v>
      </c>
      <c r="K78" s="55">
        <f t="shared" si="20"/>
        <v>5524.96</v>
      </c>
      <c r="L78" s="56">
        <f t="shared" si="18"/>
        <v>9.7816484693336713E-3</v>
      </c>
      <c r="M78" s="83">
        <f t="shared" si="21"/>
        <v>27.903838383838384</v>
      </c>
      <c r="N78" s="76">
        <v>2</v>
      </c>
      <c r="O78" s="77">
        <v>3</v>
      </c>
      <c r="P78" s="76">
        <v>8</v>
      </c>
      <c r="Q78" s="78">
        <v>104.16</v>
      </c>
      <c r="R78" s="76" t="s">
        <v>369</v>
      </c>
    </row>
    <row r="79" spans="1:18" s="38" customFormat="1" ht="58.5" customHeight="1" thickBot="1" x14ac:dyDescent="0.3">
      <c r="A79" s="60"/>
      <c r="B79" s="60" t="s">
        <v>93</v>
      </c>
      <c r="C79" s="60" t="s">
        <v>92</v>
      </c>
      <c r="D79" s="60"/>
      <c r="E79" s="60"/>
      <c r="F79" s="128" t="s">
        <v>412</v>
      </c>
      <c r="G79" s="434" t="s">
        <v>88</v>
      </c>
      <c r="H79" s="435">
        <v>25</v>
      </c>
      <c r="I79" s="81">
        <f>BOM!L115</f>
        <v>505.28000000000003</v>
      </c>
      <c r="J79" s="81">
        <f t="shared" si="19"/>
        <v>3333.12</v>
      </c>
      <c r="K79" s="55">
        <f t="shared" si="20"/>
        <v>3838.4</v>
      </c>
      <c r="L79" s="56">
        <f t="shared" si="18"/>
        <v>6.7956834953900782E-3</v>
      </c>
      <c r="M79" s="83">
        <f t="shared" si="21"/>
        <v>153.536</v>
      </c>
      <c r="N79" s="76">
        <v>2</v>
      </c>
      <c r="O79" s="77">
        <v>2</v>
      </c>
      <c r="P79" s="76">
        <v>8</v>
      </c>
      <c r="Q79" s="78">
        <v>104.16</v>
      </c>
      <c r="R79" s="76" t="s">
        <v>369</v>
      </c>
    </row>
    <row r="80" spans="1:18" s="38" customFormat="1" ht="158.25" thickBot="1" x14ac:dyDescent="0.3">
      <c r="A80" s="60"/>
      <c r="B80" s="60" t="s">
        <v>94</v>
      </c>
      <c r="C80" s="60" t="s">
        <v>95</v>
      </c>
      <c r="D80" s="60"/>
      <c r="E80" s="60"/>
      <c r="F80" s="128" t="s">
        <v>510</v>
      </c>
      <c r="G80" s="434" t="s">
        <v>77</v>
      </c>
      <c r="H80" s="435">
        <v>7</v>
      </c>
      <c r="I80" s="417">
        <f>BOM!L129</f>
        <v>10179.009749999999</v>
      </c>
      <c r="J80" s="81">
        <f t="shared" si="19"/>
        <v>4993.4400000000005</v>
      </c>
      <c r="K80" s="55">
        <f t="shared" si="20"/>
        <v>15172.44975</v>
      </c>
      <c r="L80" s="56">
        <f t="shared" si="18"/>
        <v>2.686201707761315E-2</v>
      </c>
      <c r="M80" s="83">
        <f t="shared" si="21"/>
        <v>2167.4928214285715</v>
      </c>
      <c r="N80" s="76">
        <v>3</v>
      </c>
      <c r="O80" s="77">
        <v>2</v>
      </c>
      <c r="P80" s="76">
        <v>8</v>
      </c>
      <c r="Q80" s="78">
        <v>104.03</v>
      </c>
      <c r="R80" s="76" t="s">
        <v>368</v>
      </c>
    </row>
    <row r="81" spans="1:21" s="38" customFormat="1" ht="79.5" thickBot="1" x14ac:dyDescent="0.3">
      <c r="A81" s="60"/>
      <c r="B81" s="60" t="s">
        <v>96</v>
      </c>
      <c r="C81" s="60" t="s">
        <v>95</v>
      </c>
      <c r="D81" s="60"/>
      <c r="E81" s="60"/>
      <c r="F81" s="75" t="s">
        <v>413</v>
      </c>
      <c r="G81" s="90" t="s">
        <v>97</v>
      </c>
      <c r="H81" s="92">
        <v>340</v>
      </c>
      <c r="I81" s="81">
        <f>BOM!L137</f>
        <v>1270.8771999999999</v>
      </c>
      <c r="J81" s="81">
        <f t="shared" si="19"/>
        <v>7490.16</v>
      </c>
      <c r="K81" s="55">
        <f t="shared" si="20"/>
        <v>8761.0371999999988</v>
      </c>
      <c r="L81" s="56">
        <f t="shared" si="18"/>
        <v>1.5510951412708028E-2</v>
      </c>
      <c r="M81" s="83">
        <f t="shared" si="21"/>
        <v>25.767756470588232</v>
      </c>
      <c r="N81" s="76">
        <v>3</v>
      </c>
      <c r="O81" s="77">
        <v>3</v>
      </c>
      <c r="P81" s="76">
        <v>8</v>
      </c>
      <c r="Q81" s="78">
        <v>104.03</v>
      </c>
      <c r="R81" s="76" t="s">
        <v>368</v>
      </c>
    </row>
    <row r="82" spans="1:21" ht="16.5" thickBot="1" x14ac:dyDescent="0.3">
      <c r="A82" s="53"/>
      <c r="B82" s="53"/>
      <c r="C82" s="53"/>
      <c r="D82" s="53"/>
      <c r="E82" s="53"/>
      <c r="F82" s="63"/>
      <c r="G82" s="95"/>
      <c r="H82" s="64" t="s">
        <v>62</v>
      </c>
      <c r="I82" s="65">
        <f>SUM(I77:I81)</f>
        <v>12937.575150000001</v>
      </c>
      <c r="J82" s="65">
        <f>SUM(J77:J81)</f>
        <v>24145.359999999997</v>
      </c>
      <c r="K82" s="66">
        <f>SUM(K77:K81)</f>
        <v>37082.935149999998</v>
      </c>
      <c r="L82" s="56"/>
      <c r="M82" s="56">
        <f>K82/$K$101</f>
        <v>6.5653368684732066E-2</v>
      </c>
      <c r="N82" s="84"/>
      <c r="P82" s="439"/>
      <c r="Q82" s="439"/>
      <c r="R82" s="439"/>
      <c r="S82" s="440"/>
      <c r="T82" s="440"/>
    </row>
    <row r="83" spans="1:21" ht="21" thickBot="1" x14ac:dyDescent="0.3">
      <c r="A83" s="96"/>
      <c r="B83" s="70"/>
      <c r="C83" s="70"/>
      <c r="D83" s="70"/>
      <c r="E83" s="70"/>
      <c r="F83" s="71" t="s">
        <v>99</v>
      </c>
      <c r="G83" s="70"/>
      <c r="H83" s="70"/>
      <c r="I83" s="72"/>
      <c r="J83" s="72"/>
      <c r="K83" s="73"/>
      <c r="L83" s="56">
        <f>K83/$K$101</f>
        <v>0</v>
      </c>
      <c r="M83" s="83"/>
      <c r="P83" s="439"/>
      <c r="Q83" s="439"/>
      <c r="R83" s="439"/>
      <c r="S83" s="440"/>
      <c r="T83" s="440"/>
      <c r="U83" s="38"/>
    </row>
    <row r="84" spans="1:21" s="38" customFormat="1" ht="132" thickBot="1" x14ac:dyDescent="0.3">
      <c r="A84" s="60"/>
      <c r="B84" s="60" t="s">
        <v>100</v>
      </c>
      <c r="C84" s="60" t="s">
        <v>85</v>
      </c>
      <c r="D84" s="60"/>
      <c r="E84" s="60"/>
      <c r="F84" s="89" t="s">
        <v>414</v>
      </c>
      <c r="G84" s="60" t="s">
        <v>79</v>
      </c>
      <c r="H84" s="91">
        <v>18</v>
      </c>
      <c r="I84" s="81">
        <f>BOM!L144</f>
        <v>454.86695000000003</v>
      </c>
      <c r="J84" s="81">
        <f t="shared" ref="J84:J86" si="22">N84*O84*P84*Q84</f>
        <v>3328.96</v>
      </c>
      <c r="K84" s="55">
        <f t="shared" ref="K84:K86" si="23">I84+J84</f>
        <v>3783.8269500000001</v>
      </c>
      <c r="L84" s="56">
        <f>K84/$K$101</f>
        <v>6.6990648065671059E-3</v>
      </c>
      <c r="M84" s="83">
        <f>K84/H84</f>
        <v>210.21260833333335</v>
      </c>
      <c r="N84" s="76">
        <v>2</v>
      </c>
      <c r="O84" s="77">
        <v>2</v>
      </c>
      <c r="P84" s="441">
        <v>8</v>
      </c>
      <c r="Q84" s="78">
        <v>104.03</v>
      </c>
      <c r="R84" s="441" t="s">
        <v>368</v>
      </c>
      <c r="S84" s="439"/>
      <c r="T84" s="439"/>
    </row>
    <row r="85" spans="1:21" s="38" customFormat="1" ht="57" thickBot="1" x14ac:dyDescent="0.3">
      <c r="A85" s="60"/>
      <c r="B85" s="60" t="s">
        <v>86</v>
      </c>
      <c r="C85" s="60" t="s">
        <v>85</v>
      </c>
      <c r="D85" s="60"/>
      <c r="E85" s="60"/>
      <c r="F85" s="89" t="s">
        <v>415</v>
      </c>
      <c r="G85" s="90" t="s">
        <v>79</v>
      </c>
      <c r="H85" s="91">
        <v>359</v>
      </c>
      <c r="I85" s="97">
        <f>BOM!L150</f>
        <v>748.09350000000006</v>
      </c>
      <c r="J85" s="81">
        <f t="shared" si="22"/>
        <v>6047.28</v>
      </c>
      <c r="K85" s="55">
        <f t="shared" si="23"/>
        <v>6795.3734999999997</v>
      </c>
      <c r="L85" s="56">
        <f>K85/$K$101</f>
        <v>1.2030848150000288E-2</v>
      </c>
      <c r="M85" s="83">
        <f t="shared" ref="M85:M86" si="24">K85/H85</f>
        <v>18.928616991643452</v>
      </c>
      <c r="N85" s="76">
        <v>3</v>
      </c>
      <c r="O85" s="77">
        <v>3</v>
      </c>
      <c r="P85" s="441">
        <v>8</v>
      </c>
      <c r="Q85" s="78">
        <v>83.99</v>
      </c>
      <c r="R85" s="441" t="s">
        <v>367</v>
      </c>
      <c r="S85" s="439"/>
      <c r="T85" s="439"/>
    </row>
    <row r="86" spans="1:21" s="38" customFormat="1" ht="48" thickBot="1" x14ac:dyDescent="0.3">
      <c r="A86" s="60"/>
      <c r="B86" s="60" t="s">
        <v>84</v>
      </c>
      <c r="C86" s="53" t="s">
        <v>85</v>
      </c>
      <c r="D86" s="53"/>
      <c r="E86" s="53"/>
      <c r="F86" s="75" t="s">
        <v>416</v>
      </c>
      <c r="G86" s="53" t="s">
        <v>77</v>
      </c>
      <c r="H86" s="79">
        <v>6</v>
      </c>
      <c r="I86" s="88">
        <f>BOM!L155</f>
        <v>532.22424999999998</v>
      </c>
      <c r="J86" s="88">
        <f t="shared" si="22"/>
        <v>2015.7599999999998</v>
      </c>
      <c r="K86" s="55">
        <f t="shared" si="23"/>
        <v>2547.9842499999995</v>
      </c>
      <c r="L86" s="56">
        <f>K86/$K$101</f>
        <v>4.5110708926216292E-3</v>
      </c>
      <c r="M86" s="83">
        <f t="shared" si="24"/>
        <v>424.66404166666661</v>
      </c>
      <c r="N86" s="76">
        <v>3</v>
      </c>
      <c r="O86" s="77">
        <v>1</v>
      </c>
      <c r="P86" s="76">
        <v>8</v>
      </c>
      <c r="Q86" s="78">
        <v>83.99</v>
      </c>
      <c r="R86" s="76" t="s">
        <v>367</v>
      </c>
    </row>
    <row r="87" spans="1:21" ht="16.5" thickBot="1" x14ac:dyDescent="0.3">
      <c r="A87" s="53"/>
      <c r="B87" s="53"/>
      <c r="C87" s="53"/>
      <c r="D87" s="53"/>
      <c r="E87" s="53"/>
      <c r="F87" s="98"/>
      <c r="G87" s="466" t="s">
        <v>62</v>
      </c>
      <c r="H87" s="467"/>
      <c r="I87" s="99">
        <f>SUM(I84:I86)</f>
        <v>1735.1847</v>
      </c>
      <c r="J87" s="99">
        <f>SUM(J84:J86)</f>
        <v>11392</v>
      </c>
      <c r="K87" s="66">
        <f>SUM(K84:K86)</f>
        <v>13127.1847</v>
      </c>
      <c r="L87" s="56"/>
      <c r="M87" s="56">
        <f>K87/$K$101</f>
        <v>2.3240983849189024E-2</v>
      </c>
      <c r="N87" s="84"/>
    </row>
    <row r="88" spans="1:21" ht="21" thickBot="1" x14ac:dyDescent="0.3">
      <c r="A88" s="96"/>
      <c r="B88" s="70"/>
      <c r="C88" s="70"/>
      <c r="D88" s="70"/>
      <c r="E88" s="70"/>
      <c r="F88" s="71" t="s">
        <v>32</v>
      </c>
      <c r="G88" s="70"/>
      <c r="H88" s="70"/>
      <c r="I88" s="72"/>
      <c r="J88" s="72"/>
      <c r="K88" s="73"/>
      <c r="L88" s="56">
        <f>K88/$K$101</f>
        <v>0</v>
      </c>
      <c r="M88" s="100"/>
    </row>
    <row r="89" spans="1:21" s="38" customFormat="1" ht="95.25" thickBot="1" x14ac:dyDescent="0.3">
      <c r="A89" s="60"/>
      <c r="B89" s="60" t="s">
        <v>102</v>
      </c>
      <c r="C89" s="60" t="s">
        <v>85</v>
      </c>
      <c r="D89" s="60"/>
      <c r="E89" s="60"/>
      <c r="F89" s="101" t="s">
        <v>417</v>
      </c>
      <c r="G89" s="60" t="s">
        <v>79</v>
      </c>
      <c r="H89" s="102">
        <v>7</v>
      </c>
      <c r="I89" s="103">
        <f>BOM!L164</f>
        <v>918.96839999999986</v>
      </c>
      <c r="J89" s="81">
        <f t="shared" ref="J89" si="25">N89*O89*P89*Q89</f>
        <v>1594.56</v>
      </c>
      <c r="K89" s="55">
        <f t="shared" ref="K89" si="26">I89+J89</f>
        <v>2513.5283999999997</v>
      </c>
      <c r="L89" s="56">
        <f>K89/$K$101</f>
        <v>4.4500686387750699E-3</v>
      </c>
      <c r="M89" s="83">
        <f t="shared" ref="M89" si="27">K89/H89</f>
        <v>359.07548571428566</v>
      </c>
      <c r="N89" s="76">
        <v>1</v>
      </c>
      <c r="O89" s="77">
        <v>2</v>
      </c>
      <c r="P89" s="76">
        <v>8</v>
      </c>
      <c r="Q89" s="78">
        <v>99.66</v>
      </c>
      <c r="R89" s="76" t="s">
        <v>370</v>
      </c>
    </row>
    <row r="90" spans="1:21" ht="16.5" thickBot="1" x14ac:dyDescent="0.3">
      <c r="A90" s="53"/>
      <c r="B90" s="53"/>
      <c r="C90" s="53"/>
      <c r="D90" s="53"/>
      <c r="E90" s="53"/>
      <c r="F90" s="98"/>
      <c r="G90" s="466" t="s">
        <v>62</v>
      </c>
      <c r="H90" s="467"/>
      <c r="I90" s="99">
        <f>SUM(I89:I89)</f>
        <v>918.96839999999986</v>
      </c>
      <c r="J90" s="99">
        <f>SUM(J89:J89)</f>
        <v>1594.56</v>
      </c>
      <c r="K90" s="66">
        <f>SUM(K89:K89)</f>
        <v>2513.5283999999997</v>
      </c>
      <c r="L90" s="56"/>
      <c r="M90" s="56">
        <f>K90/$K$101</f>
        <v>4.4500686387750699E-3</v>
      </c>
      <c r="N90" s="84"/>
    </row>
    <row r="91" spans="1:21" ht="21" thickBot="1" x14ac:dyDescent="0.3">
      <c r="A91" s="96"/>
      <c r="B91" s="70"/>
      <c r="C91" s="70"/>
      <c r="D91" s="70"/>
      <c r="E91" s="70"/>
      <c r="F91" s="71" t="s">
        <v>33</v>
      </c>
      <c r="G91" s="70"/>
      <c r="H91" s="70"/>
      <c r="I91" s="72"/>
      <c r="J91" s="72"/>
      <c r="K91" s="73"/>
      <c r="L91" s="56">
        <f>K91/$K$101</f>
        <v>0</v>
      </c>
      <c r="M91" s="83"/>
    </row>
    <row r="92" spans="1:21" s="38" customFormat="1" ht="16.5" thickBot="1" x14ac:dyDescent="0.3">
      <c r="A92" s="60"/>
      <c r="B92" s="60" t="s">
        <v>103</v>
      </c>
      <c r="C92" s="60"/>
      <c r="D92" s="60"/>
      <c r="E92" s="60"/>
      <c r="F92" s="104" t="s">
        <v>104</v>
      </c>
      <c r="G92" s="105" t="s">
        <v>79</v>
      </c>
      <c r="H92" s="105">
        <v>359</v>
      </c>
      <c r="I92" s="81"/>
      <c r="J92" s="81">
        <f>N92*O92*P92*Q92</f>
        <v>0</v>
      </c>
      <c r="K92" s="55">
        <f>I92+J92</f>
        <v>0</v>
      </c>
      <c r="L92" s="56">
        <f>K92/$K$101</f>
        <v>0</v>
      </c>
      <c r="M92" s="83"/>
      <c r="N92" s="52"/>
      <c r="O92" s="42"/>
      <c r="P92" s="42"/>
    </row>
    <row r="93" spans="1:21" s="38" customFormat="1" ht="16.5" thickBot="1" x14ac:dyDescent="0.3">
      <c r="A93" s="60"/>
      <c r="B93" s="60"/>
      <c r="C93" s="60"/>
      <c r="D93" s="60"/>
      <c r="E93" s="60"/>
      <c r="F93" s="59"/>
      <c r="G93" s="90"/>
      <c r="H93" s="102"/>
      <c r="I93" s="106"/>
      <c r="J93" s="97"/>
      <c r="K93" s="227"/>
      <c r="L93" s="56">
        <f>K93/$K$101</f>
        <v>0</v>
      </c>
      <c r="M93" s="83"/>
      <c r="N93" s="52"/>
      <c r="O93" s="42"/>
      <c r="P93" s="42"/>
    </row>
    <row r="94" spans="1:21" ht="16.5" thickBot="1" x14ac:dyDescent="0.3">
      <c r="A94" s="53"/>
      <c r="B94" s="53"/>
      <c r="C94" s="53"/>
      <c r="D94" s="53"/>
      <c r="E94" s="53"/>
      <c r="F94" s="107" t="s">
        <v>105</v>
      </c>
      <c r="G94" s="466" t="s">
        <v>62</v>
      </c>
      <c r="H94" s="467"/>
      <c r="I94" s="99">
        <f>SUM(I92:I93)</f>
        <v>0</v>
      </c>
      <c r="J94" s="99">
        <f>SUM(J92:J93)</f>
        <v>0</v>
      </c>
      <c r="K94" s="99">
        <f>SUM(K92:K93)</f>
        <v>0</v>
      </c>
      <c r="L94" s="56"/>
      <c r="M94" s="56">
        <f>K94/$K$101</f>
        <v>0</v>
      </c>
      <c r="N94" s="57"/>
    </row>
    <row r="95" spans="1:21" ht="16.5" thickBot="1" x14ac:dyDescent="0.3">
      <c r="A95" s="53"/>
      <c r="B95" s="53"/>
      <c r="C95" s="53"/>
      <c r="D95" s="53"/>
      <c r="E95" s="53"/>
      <c r="F95" s="98"/>
      <c r="G95" s="53"/>
      <c r="H95" s="105"/>
      <c r="I95" s="81"/>
      <c r="J95" s="81"/>
      <c r="K95" s="55"/>
      <c r="L95" s="87"/>
      <c r="M95" s="87"/>
    </row>
    <row r="96" spans="1:21" ht="16.5" thickBot="1" x14ac:dyDescent="0.3">
      <c r="A96" s="53"/>
      <c r="B96" s="53"/>
      <c r="C96" s="53"/>
      <c r="D96" s="53"/>
      <c r="E96" s="53"/>
      <c r="F96" s="108"/>
      <c r="G96" s="53"/>
      <c r="H96" s="105"/>
      <c r="I96" s="81"/>
      <c r="J96" s="81"/>
      <c r="K96" s="55"/>
      <c r="L96" s="87"/>
      <c r="M96" s="87"/>
    </row>
    <row r="97" spans="1:18" ht="16.5" thickBot="1" x14ac:dyDescent="0.3">
      <c r="A97" s="53"/>
      <c r="B97" s="53"/>
      <c r="C97" s="53"/>
      <c r="D97" s="53"/>
      <c r="E97" s="53"/>
      <c r="F97" s="98"/>
      <c r="G97" s="475" t="s">
        <v>106</v>
      </c>
      <c r="H97" s="476"/>
      <c r="I97" s="65">
        <f>SUM(I8:I96)</f>
        <v>162356.3296142857</v>
      </c>
      <c r="J97" s="109">
        <f>SUM(J8:J96)</f>
        <v>282501.93142857135</v>
      </c>
      <c r="K97" s="66">
        <f>K27+K63+K72+K75+K87+K90+K94+K82+K16</f>
        <v>564829.13052142854</v>
      </c>
      <c r="L97" s="110"/>
      <c r="M97" s="111"/>
    </row>
    <row r="98" spans="1:18" ht="16.5" thickBot="1" x14ac:dyDescent="0.3">
      <c r="A98" s="53"/>
      <c r="B98" s="53"/>
      <c r="C98" s="53"/>
      <c r="D98" s="53"/>
      <c r="E98" s="53"/>
      <c r="F98" s="112"/>
      <c r="G98" s="53"/>
      <c r="H98" s="113"/>
      <c r="I98" s="113"/>
      <c r="J98" s="113"/>
      <c r="K98" s="113"/>
      <c r="L98" s="100"/>
      <c r="M98" s="100"/>
    </row>
    <row r="99" spans="1:18" ht="16.5" thickBot="1" x14ac:dyDescent="0.3">
      <c r="A99" s="53"/>
      <c r="B99" s="53"/>
      <c r="C99" s="53"/>
      <c r="D99" s="53"/>
      <c r="E99" s="53"/>
      <c r="F99" s="107"/>
      <c r="G99" s="114"/>
      <c r="H99" s="115"/>
      <c r="I99" s="116"/>
      <c r="J99" s="117"/>
      <c r="K99" s="116"/>
      <c r="L99" s="118">
        <f>SUM(L8:L98)</f>
        <v>0.99380343574565844</v>
      </c>
      <c r="M99" s="83"/>
      <c r="N99" s="57"/>
    </row>
    <row r="100" spans="1:18" ht="16.5" thickBot="1" x14ac:dyDescent="0.3">
      <c r="A100" s="53"/>
      <c r="B100" s="53"/>
      <c r="C100" s="53"/>
      <c r="D100" s="53"/>
      <c r="E100" s="53"/>
      <c r="F100" s="107"/>
      <c r="G100" s="114"/>
      <c r="H100" s="119"/>
      <c r="I100" s="120"/>
      <c r="J100" s="121"/>
      <c r="K100" s="120"/>
      <c r="L100" s="83"/>
      <c r="M100" s="83"/>
      <c r="N100" s="57"/>
    </row>
    <row r="101" spans="1:18" ht="21" thickBot="1" x14ac:dyDescent="0.3">
      <c r="A101" s="53"/>
      <c r="B101" s="53"/>
      <c r="C101" s="53"/>
      <c r="D101" s="53"/>
      <c r="E101" s="53"/>
      <c r="F101" s="88"/>
      <c r="G101" s="114"/>
      <c r="H101" s="477" t="s">
        <v>107</v>
      </c>
      <c r="I101" s="478"/>
      <c r="J101" s="478"/>
      <c r="K101" s="122">
        <f>K97</f>
        <v>564829.13052142854</v>
      </c>
      <c r="L101" s="83"/>
      <c r="M101" s="83"/>
    </row>
    <row r="106" spans="1:18" ht="16.5" thickBot="1" x14ac:dyDescent="0.3"/>
    <row r="107" spans="1:18" ht="21" thickBot="1" x14ac:dyDescent="0.3">
      <c r="A107" s="96"/>
      <c r="B107" s="228"/>
      <c r="C107" s="228"/>
      <c r="D107" s="228"/>
      <c r="E107" s="228"/>
      <c r="F107" s="229" t="s">
        <v>108</v>
      </c>
      <c r="G107" s="228"/>
      <c r="H107" s="228"/>
      <c r="I107" s="230"/>
      <c r="J107" s="230"/>
      <c r="K107" s="231"/>
      <c r="L107" s="56"/>
      <c r="M107" s="83"/>
    </row>
    <row r="108" spans="1:18" s="38" customFormat="1" ht="57" thickBot="1" x14ac:dyDescent="0.3">
      <c r="A108" s="90"/>
      <c r="B108" s="433"/>
      <c r="C108" s="235" t="s">
        <v>85</v>
      </c>
      <c r="D108" s="235"/>
      <c r="E108" s="235"/>
      <c r="F108" s="236" t="s">
        <v>130</v>
      </c>
      <c r="G108" s="237" t="s">
        <v>79</v>
      </c>
      <c r="H108" s="238">
        <v>150</v>
      </c>
      <c r="I108" s="239">
        <f>BOM!L176</f>
        <v>467.17019999999997</v>
      </c>
      <c r="J108" s="240">
        <f t="shared" ref="J108:J116" si="28">N108*O108*P108*Q108</f>
        <v>2687.68</v>
      </c>
      <c r="K108" s="241">
        <f t="shared" ref="K108:K116" si="29">I108+J108</f>
        <v>3154.8501999999999</v>
      </c>
      <c r="L108" s="56"/>
      <c r="M108" s="83">
        <f t="shared" ref="M108:M116" si="30">K108/H108</f>
        <v>21.032334666666667</v>
      </c>
      <c r="N108" s="76">
        <v>2</v>
      </c>
      <c r="O108" s="77">
        <v>2</v>
      </c>
      <c r="P108" s="76">
        <v>8</v>
      </c>
      <c r="Q108" s="78">
        <v>83.99</v>
      </c>
      <c r="R108" s="76" t="s">
        <v>367</v>
      </c>
    </row>
    <row r="109" spans="1:18" s="38" customFormat="1" ht="32.25" thickBot="1" x14ac:dyDescent="0.3">
      <c r="A109" s="90"/>
      <c r="B109" s="471" t="s">
        <v>87</v>
      </c>
      <c r="C109" s="232" t="s">
        <v>85</v>
      </c>
      <c r="D109" s="232"/>
      <c r="E109" s="232"/>
      <c r="F109" s="242" t="s">
        <v>371</v>
      </c>
      <c r="G109" s="233" t="s">
        <v>88</v>
      </c>
      <c r="H109" s="243">
        <v>150</v>
      </c>
      <c r="I109" s="234">
        <f t="shared" ref="I109" si="31">J109*0.2</f>
        <v>806.30399999999997</v>
      </c>
      <c r="J109" s="234">
        <f t="shared" si="28"/>
        <v>4031.5199999999995</v>
      </c>
      <c r="K109" s="244">
        <f t="shared" si="29"/>
        <v>4837.8239999999996</v>
      </c>
      <c r="L109" s="56"/>
      <c r="M109" s="83">
        <f t="shared" si="30"/>
        <v>32.252159999999996</v>
      </c>
      <c r="N109" s="76">
        <v>3</v>
      </c>
      <c r="O109" s="77">
        <v>2</v>
      </c>
      <c r="P109" s="76">
        <v>8</v>
      </c>
      <c r="Q109" s="78">
        <v>83.99</v>
      </c>
      <c r="R109" s="76" t="s">
        <v>367</v>
      </c>
    </row>
    <row r="110" spans="1:18" s="38" customFormat="1" ht="63.75" thickBot="1" x14ac:dyDescent="0.3">
      <c r="A110" s="90"/>
      <c r="B110" s="472"/>
      <c r="C110" s="235" t="s">
        <v>85</v>
      </c>
      <c r="D110" s="235"/>
      <c r="E110" s="235"/>
      <c r="F110" s="245" t="s">
        <v>372</v>
      </c>
      <c r="G110" s="237" t="s">
        <v>88</v>
      </c>
      <c r="H110" s="246">
        <v>150</v>
      </c>
      <c r="I110" s="240">
        <f>BOM!L184</f>
        <v>3279.6791999999996</v>
      </c>
      <c r="J110" s="240">
        <f t="shared" si="28"/>
        <v>9986.880000000001</v>
      </c>
      <c r="K110" s="241">
        <f t="shared" si="29"/>
        <v>13266.5592</v>
      </c>
      <c r="L110" s="56"/>
      <c r="M110" s="83">
        <f t="shared" si="30"/>
        <v>88.443727999999993</v>
      </c>
      <c r="N110" s="76">
        <v>3</v>
      </c>
      <c r="O110" s="77">
        <v>4</v>
      </c>
      <c r="P110" s="76">
        <v>8</v>
      </c>
      <c r="Q110" s="78">
        <v>104.03</v>
      </c>
      <c r="R110" s="76" t="s">
        <v>368</v>
      </c>
    </row>
    <row r="111" spans="1:18" s="38" customFormat="1" ht="48" thickBot="1" x14ac:dyDescent="0.3">
      <c r="A111" s="90"/>
      <c r="B111" s="471" t="s">
        <v>96</v>
      </c>
      <c r="C111" s="232" t="s">
        <v>95</v>
      </c>
      <c r="D111" s="232"/>
      <c r="E111" s="232"/>
      <c r="F111" s="242" t="s">
        <v>373</v>
      </c>
      <c r="G111" s="233" t="s">
        <v>97</v>
      </c>
      <c r="H111" s="243">
        <v>200</v>
      </c>
      <c r="I111" s="234">
        <f t="shared" ref="I111" si="32">J111*0.2</f>
        <v>537.53599999999994</v>
      </c>
      <c r="J111" s="234">
        <f t="shared" si="28"/>
        <v>2687.68</v>
      </c>
      <c r="K111" s="244">
        <f t="shared" si="29"/>
        <v>3225.2159999999999</v>
      </c>
      <c r="L111" s="56"/>
      <c r="M111" s="83">
        <f t="shared" si="30"/>
        <v>16.126079999999998</v>
      </c>
      <c r="N111" s="76">
        <v>2</v>
      </c>
      <c r="O111" s="77">
        <v>2</v>
      </c>
      <c r="P111" s="76">
        <v>8</v>
      </c>
      <c r="Q111" s="78">
        <v>83.99</v>
      </c>
      <c r="R111" s="76" t="s">
        <v>367</v>
      </c>
    </row>
    <row r="112" spans="1:18" s="38" customFormat="1" ht="79.5" thickBot="1" x14ac:dyDescent="0.3">
      <c r="A112" s="90"/>
      <c r="B112" s="472"/>
      <c r="C112" s="235" t="s">
        <v>95</v>
      </c>
      <c r="D112" s="235"/>
      <c r="E112" s="235"/>
      <c r="F112" s="245" t="s">
        <v>374</v>
      </c>
      <c r="G112" s="237" t="s">
        <v>97</v>
      </c>
      <c r="H112" s="246">
        <v>200</v>
      </c>
      <c r="I112" s="240">
        <f>BOM!L192</f>
        <v>613.65780000000007</v>
      </c>
      <c r="J112" s="240">
        <f t="shared" si="28"/>
        <v>4993.4400000000005</v>
      </c>
      <c r="K112" s="241">
        <f t="shared" si="29"/>
        <v>5607.0978000000005</v>
      </c>
      <c r="L112" s="56"/>
      <c r="M112" s="83">
        <f t="shared" si="30"/>
        <v>28.035489000000002</v>
      </c>
      <c r="N112" s="76">
        <v>2</v>
      </c>
      <c r="O112" s="77">
        <v>3</v>
      </c>
      <c r="P112" s="76">
        <v>8</v>
      </c>
      <c r="Q112" s="78">
        <v>104.03</v>
      </c>
      <c r="R112" s="76" t="s">
        <v>368</v>
      </c>
    </row>
    <row r="113" spans="1:18" s="38" customFormat="1" ht="48" thickBot="1" x14ac:dyDescent="0.3">
      <c r="A113" s="90"/>
      <c r="B113" s="471" t="s">
        <v>91</v>
      </c>
      <c r="C113" s="232" t="s">
        <v>92</v>
      </c>
      <c r="D113" s="232"/>
      <c r="E113" s="232"/>
      <c r="F113" s="242" t="s">
        <v>375</v>
      </c>
      <c r="G113" s="233" t="s">
        <v>79</v>
      </c>
      <c r="H113" s="243">
        <v>400</v>
      </c>
      <c r="I113" s="234">
        <f t="shared" ref="I113" si="33">J113*0.2</f>
        <v>1499.904</v>
      </c>
      <c r="J113" s="234">
        <f t="shared" si="28"/>
        <v>7499.5199999999995</v>
      </c>
      <c r="K113" s="244">
        <f t="shared" si="29"/>
        <v>8999.4239999999991</v>
      </c>
      <c r="L113" s="56"/>
      <c r="M113" s="83">
        <f t="shared" si="30"/>
        <v>22.498559999999998</v>
      </c>
      <c r="N113" s="76">
        <v>3</v>
      </c>
      <c r="O113" s="77">
        <v>3</v>
      </c>
      <c r="P113" s="76">
        <v>8</v>
      </c>
      <c r="Q113" s="78">
        <v>104.16</v>
      </c>
      <c r="R113" s="76" t="s">
        <v>369</v>
      </c>
    </row>
    <row r="114" spans="1:18" s="38" customFormat="1" ht="48" thickBot="1" x14ac:dyDescent="0.3">
      <c r="A114" s="90"/>
      <c r="B114" s="472"/>
      <c r="C114" s="235" t="s">
        <v>92</v>
      </c>
      <c r="D114" s="235"/>
      <c r="E114" s="235"/>
      <c r="F114" s="245" t="s">
        <v>376</v>
      </c>
      <c r="G114" s="237" t="s">
        <v>79</v>
      </c>
      <c r="H114" s="246">
        <v>400</v>
      </c>
      <c r="I114" s="240">
        <f>BOM!L203</f>
        <v>140.56</v>
      </c>
      <c r="J114" s="240">
        <f t="shared" si="28"/>
        <v>9999.36</v>
      </c>
      <c r="K114" s="241">
        <f t="shared" si="29"/>
        <v>10139.92</v>
      </c>
      <c r="L114" s="56"/>
      <c r="M114" s="83">
        <f t="shared" si="30"/>
        <v>25.349800000000002</v>
      </c>
      <c r="N114" s="76">
        <v>3</v>
      </c>
      <c r="O114" s="77">
        <v>4</v>
      </c>
      <c r="P114" s="76">
        <v>8</v>
      </c>
      <c r="Q114" s="78">
        <v>104.16</v>
      </c>
      <c r="R114" s="76" t="s">
        <v>369</v>
      </c>
    </row>
    <row r="115" spans="1:18" s="38" customFormat="1" ht="48" thickBot="1" x14ac:dyDescent="0.3">
      <c r="A115" s="90"/>
      <c r="B115" s="471" t="s">
        <v>93</v>
      </c>
      <c r="C115" s="232" t="s">
        <v>92</v>
      </c>
      <c r="D115" s="232"/>
      <c r="E115" s="232"/>
      <c r="F115" s="242" t="s">
        <v>377</v>
      </c>
      <c r="G115" s="233" t="s">
        <v>88</v>
      </c>
      <c r="H115" s="243">
        <v>400</v>
      </c>
      <c r="I115" s="234">
        <f t="shared" ref="I115" si="34">J115*0.2</f>
        <v>999.93600000000015</v>
      </c>
      <c r="J115" s="234">
        <f t="shared" si="28"/>
        <v>4999.68</v>
      </c>
      <c r="K115" s="244">
        <f t="shared" si="29"/>
        <v>5999.616</v>
      </c>
      <c r="L115" s="56"/>
      <c r="M115" s="83">
        <f t="shared" si="30"/>
        <v>14.999040000000001</v>
      </c>
      <c r="N115" s="76">
        <v>3</v>
      </c>
      <c r="O115" s="77">
        <v>2</v>
      </c>
      <c r="P115" s="76">
        <v>8</v>
      </c>
      <c r="Q115" s="78">
        <v>104.16</v>
      </c>
      <c r="R115" s="76" t="s">
        <v>369</v>
      </c>
    </row>
    <row r="116" spans="1:18" s="38" customFormat="1" ht="48" thickBot="1" x14ac:dyDescent="0.3">
      <c r="A116" s="90"/>
      <c r="B116" s="472"/>
      <c r="C116" s="235" t="s">
        <v>92</v>
      </c>
      <c r="D116" s="235"/>
      <c r="E116" s="235"/>
      <c r="F116" s="245" t="s">
        <v>378</v>
      </c>
      <c r="G116" s="237" t="s">
        <v>88</v>
      </c>
      <c r="H116" s="246">
        <v>400</v>
      </c>
      <c r="I116" s="240">
        <f>BOM!L208</f>
        <v>352.8</v>
      </c>
      <c r="J116" s="240">
        <f t="shared" si="28"/>
        <v>8749.44</v>
      </c>
      <c r="K116" s="241">
        <f t="shared" si="29"/>
        <v>9102.24</v>
      </c>
      <c r="L116" s="56"/>
      <c r="M116" s="83">
        <f t="shared" si="30"/>
        <v>22.755600000000001</v>
      </c>
      <c r="N116" s="76">
        <v>3</v>
      </c>
      <c r="O116" s="77">
        <v>3.5</v>
      </c>
      <c r="P116" s="76">
        <v>8</v>
      </c>
      <c r="Q116" s="78">
        <v>104.16</v>
      </c>
      <c r="R116" s="76" t="s">
        <v>369</v>
      </c>
    </row>
    <row r="117" spans="1:18" ht="16.5" thickBot="1" x14ac:dyDescent="0.3">
      <c r="A117" s="60"/>
      <c r="B117" s="247"/>
      <c r="C117" s="247"/>
      <c r="D117" s="247"/>
      <c r="E117" s="247"/>
      <c r="F117" s="248"/>
      <c r="G117" s="473" t="s">
        <v>62</v>
      </c>
      <c r="H117" s="474"/>
      <c r="I117" s="249">
        <f>SUM(I108:I116)</f>
        <v>8697.5471999999991</v>
      </c>
      <c r="J117" s="249">
        <f>SUM(J108:J116)</f>
        <v>55635.200000000004</v>
      </c>
      <c r="K117" s="250">
        <f>SUM(K108:K116)</f>
        <v>64332.747199999998</v>
      </c>
    </row>
    <row r="118" spans="1:18" ht="16.5" thickBot="1" x14ac:dyDescent="0.3">
      <c r="A118" s="60"/>
      <c r="B118" s="60"/>
      <c r="C118" s="60"/>
      <c r="D118" s="60"/>
      <c r="E118" s="60"/>
      <c r="F118" s="101"/>
      <c r="G118" s="60"/>
      <c r="H118" s="102"/>
      <c r="I118" s="123"/>
      <c r="J118" s="81"/>
      <c r="K118" s="55"/>
    </row>
    <row r="119" spans="1:18" ht="16.5" thickBot="1" x14ac:dyDescent="0.3">
      <c r="A119" s="60"/>
      <c r="B119" s="60"/>
      <c r="C119" s="60"/>
      <c r="D119" s="60"/>
      <c r="E119" s="60"/>
      <c r="F119" s="101"/>
      <c r="G119" s="60"/>
      <c r="H119" s="102"/>
      <c r="I119" s="123"/>
      <c r="J119" s="81"/>
      <c r="K119" s="55"/>
    </row>
    <row r="120" spans="1:18" ht="16.5" thickBot="1" x14ac:dyDescent="0.3">
      <c r="A120" s="60"/>
      <c r="B120" s="60"/>
      <c r="C120" s="60"/>
      <c r="D120" s="60"/>
      <c r="E120" s="60"/>
      <c r="F120" s="101"/>
      <c r="G120" s="60"/>
      <c r="H120" s="102"/>
      <c r="I120" s="123"/>
      <c r="J120" s="81"/>
      <c r="K120" s="55"/>
    </row>
    <row r="121" spans="1:18" ht="16.5" thickBot="1" x14ac:dyDescent="0.3">
      <c r="A121" s="60"/>
      <c r="B121" s="60"/>
      <c r="C121" s="60"/>
      <c r="D121" s="60"/>
      <c r="E121" s="60"/>
      <c r="F121" s="101"/>
      <c r="G121" s="60"/>
      <c r="H121" s="102"/>
      <c r="I121" s="123"/>
      <c r="J121" s="81"/>
      <c r="K121" s="55"/>
    </row>
    <row r="122" spans="1:18" ht="16.5" thickBot="1" x14ac:dyDescent="0.3">
      <c r="A122" s="60"/>
      <c r="B122" s="60"/>
      <c r="C122" s="60"/>
      <c r="D122" s="60"/>
      <c r="E122" s="60"/>
      <c r="F122" s="101"/>
      <c r="G122" s="60"/>
      <c r="H122" s="102"/>
      <c r="I122" s="123"/>
      <c r="J122" s="81"/>
      <c r="K122" s="55"/>
    </row>
    <row r="123" spans="1:18" ht="16.5" thickBot="1" x14ac:dyDescent="0.3">
      <c r="A123" s="60"/>
      <c r="B123" s="60"/>
      <c r="C123" s="60"/>
      <c r="D123" s="60"/>
      <c r="E123" s="60"/>
      <c r="F123" s="101"/>
      <c r="G123" s="60"/>
      <c r="H123" s="102"/>
      <c r="I123" s="123"/>
      <c r="J123" s="81"/>
      <c r="K123" s="55"/>
    </row>
    <row r="124" spans="1:18" ht="16.5" thickBot="1" x14ac:dyDescent="0.3">
      <c r="A124" s="60"/>
      <c r="B124" s="60"/>
      <c r="C124" s="60"/>
      <c r="D124" s="60"/>
      <c r="E124" s="60"/>
      <c r="F124" s="101"/>
      <c r="G124" s="60"/>
      <c r="H124" s="102"/>
      <c r="I124" s="123"/>
      <c r="J124" s="81"/>
      <c r="K124" s="55"/>
    </row>
    <row r="125" spans="1:18" ht="16.5" thickBot="1" x14ac:dyDescent="0.3">
      <c r="A125" s="60"/>
      <c r="B125" s="60"/>
      <c r="C125" s="60"/>
      <c r="D125" s="60"/>
      <c r="E125" s="60"/>
      <c r="F125" s="101"/>
      <c r="G125" s="60"/>
      <c r="H125" s="102"/>
      <c r="I125" s="123"/>
      <c r="J125" s="81"/>
      <c r="K125" s="55"/>
    </row>
    <row r="126" spans="1:18" ht="16.5" thickBot="1" x14ac:dyDescent="0.3">
      <c r="A126" s="60"/>
      <c r="B126" s="60"/>
      <c r="C126" s="60"/>
      <c r="D126" s="60"/>
      <c r="E126" s="60"/>
      <c r="F126" s="101"/>
      <c r="G126" s="60"/>
      <c r="H126" s="102"/>
      <c r="I126" s="123"/>
      <c r="J126" s="81"/>
      <c r="K126" s="55"/>
    </row>
    <row r="127" spans="1:18" ht="16.5" thickBot="1" x14ac:dyDescent="0.3">
      <c r="A127" s="60"/>
      <c r="B127" s="60"/>
      <c r="C127" s="60"/>
      <c r="D127" s="60"/>
      <c r="E127" s="60"/>
      <c r="F127" s="101"/>
      <c r="G127" s="60"/>
      <c r="H127" s="102"/>
      <c r="I127" s="123"/>
      <c r="J127" s="81"/>
      <c r="K127" s="55"/>
    </row>
    <row r="128" spans="1:18" ht="16.5" thickBot="1" x14ac:dyDescent="0.3">
      <c r="A128" s="60"/>
      <c r="B128" s="60"/>
      <c r="C128" s="60"/>
      <c r="D128" s="60"/>
      <c r="E128" s="60"/>
      <c r="F128" s="101"/>
      <c r="G128" s="60"/>
      <c r="H128" s="102"/>
      <c r="I128" s="123"/>
      <c r="J128" s="81"/>
      <c r="K128" s="55"/>
    </row>
    <row r="129" spans="1:11" ht="16.5" thickBot="1" x14ac:dyDescent="0.3">
      <c r="A129" s="60"/>
      <c r="B129" s="60"/>
      <c r="C129" s="60"/>
      <c r="D129" s="60"/>
      <c r="E129" s="60"/>
      <c r="F129" s="101"/>
      <c r="G129" s="60"/>
      <c r="H129" s="102"/>
      <c r="I129" s="123"/>
      <c r="J129" s="81"/>
      <c r="K129" s="55"/>
    </row>
    <row r="130" spans="1:11" ht="16.5" thickBot="1" x14ac:dyDescent="0.3">
      <c r="A130" s="60"/>
      <c r="B130" s="60"/>
      <c r="C130" s="60"/>
      <c r="D130" s="60"/>
      <c r="E130" s="60"/>
      <c r="F130" s="101"/>
      <c r="G130" s="60"/>
      <c r="H130" s="102"/>
      <c r="I130" s="123"/>
      <c r="J130" s="81"/>
      <c r="K130" s="55"/>
    </row>
    <row r="131" spans="1:11" ht="16.5" thickBot="1" x14ac:dyDescent="0.3">
      <c r="A131" s="60"/>
      <c r="B131" s="60"/>
      <c r="C131" s="60"/>
      <c r="D131" s="60"/>
      <c r="E131" s="60"/>
      <c r="F131" s="101"/>
      <c r="G131" s="60"/>
      <c r="H131" s="102"/>
      <c r="I131" s="123"/>
      <c r="J131" s="81"/>
      <c r="K131" s="55"/>
    </row>
    <row r="132" spans="1:11" ht="16.5" thickBot="1" x14ac:dyDescent="0.3">
      <c r="A132" s="60"/>
      <c r="B132" s="60"/>
      <c r="C132" s="60"/>
      <c r="D132" s="60"/>
      <c r="E132" s="60"/>
      <c r="F132" s="101"/>
      <c r="G132" s="60"/>
      <c r="H132" s="102"/>
      <c r="I132" s="123"/>
      <c r="J132" s="81"/>
      <c r="K132" s="55"/>
    </row>
    <row r="133" spans="1:11" ht="16.5" thickBot="1" x14ac:dyDescent="0.3">
      <c r="A133" s="60"/>
      <c r="B133" s="60"/>
      <c r="C133" s="60"/>
      <c r="D133" s="60"/>
      <c r="E133" s="60"/>
      <c r="F133" s="101"/>
      <c r="G133" s="60"/>
      <c r="H133" s="102"/>
      <c r="I133" s="123"/>
      <c r="J133" s="81"/>
      <c r="K133" s="55"/>
    </row>
    <row r="134" spans="1:11" ht="16.5" thickBot="1" x14ac:dyDescent="0.3">
      <c r="A134" s="60"/>
      <c r="B134" s="60"/>
      <c r="C134" s="60"/>
      <c r="D134" s="60"/>
      <c r="E134" s="60"/>
      <c r="F134" s="101"/>
      <c r="G134" s="60"/>
      <c r="H134" s="102"/>
      <c r="I134" s="123"/>
      <c r="J134" s="81"/>
      <c r="K134" s="55"/>
    </row>
    <row r="135" spans="1:11" ht="16.5" thickBot="1" x14ac:dyDescent="0.3">
      <c r="A135" s="60"/>
      <c r="B135" s="60"/>
      <c r="C135" s="60"/>
      <c r="D135" s="60"/>
      <c r="E135" s="60"/>
      <c r="F135" s="101"/>
      <c r="G135" s="60"/>
      <c r="H135" s="102"/>
      <c r="I135" s="123"/>
      <c r="J135" s="81"/>
      <c r="K135" s="55"/>
    </row>
    <row r="136" spans="1:11" ht="16.5" thickBot="1" x14ac:dyDescent="0.3">
      <c r="A136" s="60"/>
      <c r="B136" s="60"/>
      <c r="C136" s="60"/>
      <c r="D136" s="60"/>
      <c r="E136" s="60"/>
      <c r="F136" s="101"/>
      <c r="G136" s="60"/>
      <c r="H136" s="102"/>
      <c r="I136" s="123"/>
      <c r="J136" s="81"/>
      <c r="K136" s="55"/>
    </row>
    <row r="137" spans="1:11" ht="16.5" thickBot="1" x14ac:dyDescent="0.3">
      <c r="A137" s="60"/>
      <c r="B137" s="60"/>
      <c r="C137" s="60"/>
      <c r="D137" s="60"/>
      <c r="E137" s="60"/>
      <c r="F137" s="101"/>
      <c r="G137" s="60"/>
      <c r="H137" s="102"/>
      <c r="I137" s="123"/>
      <c r="J137" s="81"/>
      <c r="K137" s="55"/>
    </row>
    <row r="138" spans="1:11" ht="16.5" thickBot="1" x14ac:dyDescent="0.3">
      <c r="A138" s="60"/>
      <c r="B138" s="60"/>
      <c r="C138" s="60"/>
      <c r="D138" s="60"/>
      <c r="E138" s="60"/>
      <c r="F138" s="101"/>
      <c r="G138" s="60"/>
      <c r="H138" s="102"/>
      <c r="I138" s="123"/>
      <c r="J138" s="81"/>
      <c r="K138" s="55"/>
    </row>
    <row r="139" spans="1:11" ht="16.5" thickBot="1" x14ac:dyDescent="0.3">
      <c r="A139" s="60"/>
      <c r="B139" s="60"/>
      <c r="C139" s="60"/>
      <c r="D139" s="60"/>
      <c r="E139" s="60"/>
      <c r="F139" s="101"/>
      <c r="G139" s="60"/>
      <c r="H139" s="102"/>
      <c r="I139" s="123"/>
      <c r="J139" s="81"/>
      <c r="K139" s="55"/>
    </row>
    <row r="140" spans="1:11" ht="16.5" thickBot="1" x14ac:dyDescent="0.3">
      <c r="A140" s="60"/>
      <c r="B140" s="60"/>
      <c r="C140" s="60"/>
      <c r="D140" s="60"/>
      <c r="E140" s="60"/>
      <c r="F140" s="101"/>
      <c r="G140" s="60"/>
      <c r="H140" s="102"/>
      <c r="I140" s="123"/>
      <c r="J140" s="81"/>
      <c r="K140" s="55"/>
    </row>
    <row r="141" spans="1:11" ht="16.5" thickBot="1" x14ac:dyDescent="0.3">
      <c r="A141" s="60"/>
      <c r="B141" s="60"/>
      <c r="C141" s="60"/>
      <c r="D141" s="60"/>
      <c r="E141" s="60"/>
      <c r="F141" s="101"/>
      <c r="G141" s="60"/>
      <c r="H141" s="102"/>
      <c r="I141" s="123"/>
      <c r="J141" s="81"/>
      <c r="K141" s="55"/>
    </row>
    <row r="142" spans="1:11" ht="16.5" thickBot="1" x14ac:dyDescent="0.3">
      <c r="A142" s="60"/>
      <c r="B142" s="60"/>
      <c r="C142" s="60"/>
      <c r="D142" s="60"/>
      <c r="E142" s="60"/>
      <c r="F142" s="101"/>
      <c r="G142" s="60"/>
      <c r="H142" s="102"/>
      <c r="I142" s="123"/>
      <c r="J142" s="81"/>
      <c r="K142" s="55"/>
    </row>
    <row r="143" spans="1:11" ht="16.5" thickBot="1" x14ac:dyDescent="0.3">
      <c r="A143" s="60"/>
      <c r="B143" s="60"/>
      <c r="C143" s="60"/>
      <c r="D143" s="60"/>
      <c r="E143" s="60"/>
      <c r="F143" s="101"/>
      <c r="G143" s="60"/>
      <c r="H143" s="102"/>
      <c r="I143" s="123"/>
      <c r="J143" s="81"/>
      <c r="K143" s="55"/>
    </row>
    <row r="144" spans="1:11" ht="16.5" thickBot="1" x14ac:dyDescent="0.3">
      <c r="A144" s="60"/>
      <c r="B144" s="60"/>
      <c r="C144" s="60"/>
      <c r="D144" s="60"/>
      <c r="E144" s="60"/>
      <c r="F144" s="101"/>
      <c r="G144" s="60"/>
      <c r="H144" s="102"/>
      <c r="I144" s="123"/>
      <c r="J144" s="81"/>
      <c r="K144" s="55"/>
    </row>
    <row r="145" spans="1:11" ht="16.5" thickBot="1" x14ac:dyDescent="0.3">
      <c r="A145" s="60"/>
      <c r="B145" s="60"/>
      <c r="C145" s="60"/>
      <c r="D145" s="60"/>
      <c r="E145" s="60"/>
      <c r="F145" s="101"/>
      <c r="G145" s="60"/>
      <c r="H145" s="102"/>
      <c r="I145" s="123"/>
      <c r="J145" s="81"/>
      <c r="K145" s="55"/>
    </row>
    <row r="146" spans="1:11" ht="16.5" thickBot="1" x14ac:dyDescent="0.3">
      <c r="A146" s="60"/>
      <c r="B146" s="60"/>
      <c r="C146" s="60"/>
      <c r="D146" s="60"/>
      <c r="E146" s="60"/>
      <c r="F146" s="101"/>
      <c r="G146" s="60"/>
      <c r="H146" s="102"/>
      <c r="I146" s="123"/>
      <c r="J146" s="81"/>
      <c r="K146" s="55"/>
    </row>
    <row r="147" spans="1:11" ht="16.5" thickBot="1" x14ac:dyDescent="0.3">
      <c r="A147" s="60"/>
      <c r="B147" s="60"/>
      <c r="C147" s="60"/>
      <c r="D147" s="60"/>
      <c r="E147" s="60"/>
      <c r="F147" s="101"/>
      <c r="G147" s="60"/>
      <c r="H147" s="102"/>
      <c r="I147" s="123"/>
      <c r="J147" s="81"/>
      <c r="K147" s="55"/>
    </row>
  </sheetData>
  <mergeCells count="16">
    <mergeCell ref="M35:M36"/>
    <mergeCell ref="B113:B114"/>
    <mergeCell ref="B115:B116"/>
    <mergeCell ref="G117:H117"/>
    <mergeCell ref="G94:H94"/>
    <mergeCell ref="G97:H97"/>
    <mergeCell ref="H101:J101"/>
    <mergeCell ref="B109:B110"/>
    <mergeCell ref="B111:B112"/>
    <mergeCell ref="G90:H90"/>
    <mergeCell ref="A1:D4"/>
    <mergeCell ref="E1:I3"/>
    <mergeCell ref="J1:K4"/>
    <mergeCell ref="E4:I4"/>
    <mergeCell ref="G87:H87"/>
    <mergeCell ref="K35:K36"/>
  </mergeCells>
  <pageMargins left="0.7" right="0.7" top="0.75" bottom="0.75" header="0.3" footer="0.3"/>
  <pageSetup paperSize="9" scale="17"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F59F-9A8B-4B44-BA18-EB4B74E3864E}">
  <dimension ref="A1:R208"/>
  <sheetViews>
    <sheetView zoomScale="70" zoomScaleNormal="70" workbookViewId="0">
      <pane ySplit="5" topLeftCell="A114" activePane="bottomLeft" state="frozen"/>
      <selection activeCell="S99" sqref="S99"/>
      <selection pane="bottomLeft" activeCell="L122" sqref="L122"/>
    </sheetView>
  </sheetViews>
  <sheetFormatPr defaultColWidth="49.42578125" defaultRowHeight="15.75" x14ac:dyDescent="0.25"/>
  <cols>
    <col min="1" max="1" width="3.42578125" style="39" customWidth="1"/>
    <col min="2" max="2" width="11.140625" style="39" customWidth="1"/>
    <col min="3" max="3" width="11" style="39" customWidth="1"/>
    <col min="4" max="4" width="15.7109375" style="39" customWidth="1"/>
    <col min="5" max="5" width="9.42578125" style="39" hidden="1" customWidth="1"/>
    <col min="6" max="6" width="89" style="39" customWidth="1"/>
    <col min="7" max="8" width="16.28515625" style="39" bestFit="1" customWidth="1"/>
    <col min="9" max="9" width="20.5703125" style="39" customWidth="1"/>
    <col min="10" max="10" width="16.28515625" style="39" customWidth="1"/>
    <col min="11" max="11" width="16.42578125" style="39" bestFit="1" customWidth="1"/>
    <col min="12" max="12" width="23" style="39" customWidth="1"/>
    <col min="13" max="16384" width="49.42578125" style="39"/>
  </cols>
  <sheetData>
    <row r="1" spans="1:12" x14ac:dyDescent="0.25">
      <c r="A1" s="447"/>
      <c r="B1" s="448"/>
      <c r="C1" s="448"/>
      <c r="D1" s="449"/>
      <c r="E1" s="456" t="s">
        <v>3</v>
      </c>
      <c r="F1" s="457"/>
      <c r="G1" s="457"/>
      <c r="H1" s="457"/>
      <c r="I1" s="457"/>
      <c r="J1" s="457"/>
      <c r="K1" s="457"/>
      <c r="L1" s="460"/>
    </row>
    <row r="2" spans="1:12" x14ac:dyDescent="0.25">
      <c r="A2" s="450"/>
      <c r="B2" s="451"/>
      <c r="C2" s="451"/>
      <c r="D2" s="452"/>
      <c r="E2" s="458"/>
      <c r="F2" s="459"/>
      <c r="G2" s="459"/>
      <c r="H2" s="459"/>
      <c r="I2" s="459"/>
      <c r="J2" s="459"/>
      <c r="K2" s="459"/>
      <c r="L2" s="461"/>
    </row>
    <row r="3" spans="1:12" ht="45.75" customHeight="1" x14ac:dyDescent="0.25">
      <c r="A3" s="450"/>
      <c r="B3" s="451"/>
      <c r="C3" s="451"/>
      <c r="D3" s="452"/>
      <c r="E3" s="458"/>
      <c r="F3" s="459"/>
      <c r="G3" s="459"/>
      <c r="H3" s="459"/>
      <c r="I3" s="459"/>
      <c r="J3" s="459"/>
      <c r="K3" s="459"/>
      <c r="L3" s="461"/>
    </row>
    <row r="4" spans="1:12" ht="34.5" customHeight="1" thickBot="1" x14ac:dyDescent="0.3">
      <c r="A4" s="453"/>
      <c r="B4" s="454"/>
      <c r="C4" s="454"/>
      <c r="D4" s="455"/>
      <c r="E4" s="464" t="s">
        <v>4</v>
      </c>
      <c r="F4" s="465"/>
      <c r="G4" s="465"/>
      <c r="H4" s="465"/>
      <c r="I4" s="465"/>
      <c r="J4" s="465"/>
      <c r="K4" s="465"/>
      <c r="L4" s="463"/>
    </row>
    <row r="5" spans="1:12" ht="32.25" thickBot="1" x14ac:dyDescent="0.3">
      <c r="A5" s="43" t="s">
        <v>36</v>
      </c>
      <c r="B5" s="44" t="s">
        <v>37</v>
      </c>
      <c r="C5" s="44" t="s">
        <v>38</v>
      </c>
      <c r="D5" s="44" t="s">
        <v>39</v>
      </c>
      <c r="E5" s="44" t="s">
        <v>40</v>
      </c>
      <c r="F5" s="45" t="s">
        <v>41</v>
      </c>
      <c r="G5" s="44" t="s">
        <v>42</v>
      </c>
      <c r="H5" s="44" t="s">
        <v>43</v>
      </c>
      <c r="I5" s="44" t="s">
        <v>286</v>
      </c>
      <c r="J5" s="44" t="s">
        <v>287</v>
      </c>
      <c r="K5" s="44" t="s">
        <v>288</v>
      </c>
      <c r="L5" s="44" t="s">
        <v>289</v>
      </c>
    </row>
    <row r="6" spans="1:12" ht="16.5" thickBot="1" x14ac:dyDescent="0.3">
      <c r="A6" s="48"/>
      <c r="B6" s="48"/>
      <c r="C6" s="48"/>
      <c r="D6" s="48"/>
      <c r="E6" s="49">
        <v>10000</v>
      </c>
      <c r="F6" s="50" t="s">
        <v>51</v>
      </c>
      <c r="G6" s="48"/>
      <c r="H6" s="48"/>
      <c r="I6" s="48"/>
      <c r="J6" s="48"/>
      <c r="K6" s="48"/>
      <c r="L6" s="48"/>
    </row>
    <row r="7" spans="1:12" ht="16.5" thickBot="1" x14ac:dyDescent="0.3">
      <c r="A7" s="53"/>
      <c r="B7" s="53"/>
      <c r="C7" s="53"/>
      <c r="D7" s="53"/>
      <c r="E7" s="53"/>
      <c r="F7" s="54" t="s">
        <v>52</v>
      </c>
      <c r="G7" s="53"/>
      <c r="H7" s="53"/>
      <c r="I7" s="55"/>
      <c r="J7" s="55"/>
      <c r="K7" s="55"/>
      <c r="L7" s="55"/>
    </row>
    <row r="8" spans="1:12" ht="16.5" thickBot="1" x14ac:dyDescent="0.3">
      <c r="A8" s="53"/>
      <c r="B8" s="53"/>
      <c r="C8" s="53"/>
      <c r="D8" s="53"/>
      <c r="E8" s="53"/>
      <c r="F8" s="58" t="s">
        <v>53</v>
      </c>
      <c r="G8" s="53" t="s">
        <v>54</v>
      </c>
      <c r="H8" s="53">
        <v>1</v>
      </c>
      <c r="I8" s="55"/>
      <c r="J8" s="55"/>
      <c r="K8" s="55"/>
      <c r="L8" s="55"/>
    </row>
    <row r="9" spans="1:12" ht="16.5" thickBot="1" x14ac:dyDescent="0.3">
      <c r="A9" s="53"/>
      <c r="B9" s="53"/>
      <c r="C9" s="53"/>
      <c r="D9" s="53"/>
      <c r="E9" s="53"/>
      <c r="F9" s="58" t="s">
        <v>55</v>
      </c>
      <c r="G9" s="53" t="s">
        <v>54</v>
      </c>
      <c r="H9" s="53">
        <v>1</v>
      </c>
      <c r="I9" s="61"/>
      <c r="J9" s="61"/>
      <c r="K9" s="61"/>
      <c r="L9" s="55"/>
    </row>
    <row r="10" spans="1:12" ht="16.5" thickBot="1" x14ac:dyDescent="0.3">
      <c r="A10" s="53"/>
      <c r="B10" s="53"/>
      <c r="C10" s="53"/>
      <c r="D10" s="53"/>
      <c r="E10" s="53"/>
      <c r="F10" s="59" t="s">
        <v>56</v>
      </c>
      <c r="G10" s="53" t="s">
        <v>54</v>
      </c>
      <c r="H10" s="60">
        <v>1</v>
      </c>
      <c r="I10" s="61"/>
      <c r="J10" s="61"/>
      <c r="K10" s="61"/>
      <c r="L10" s="55"/>
    </row>
    <row r="11" spans="1:12" ht="16.5" thickBot="1" x14ac:dyDescent="0.3">
      <c r="A11" s="53"/>
      <c r="B11" s="53"/>
      <c r="C11" s="53"/>
      <c r="D11" s="53"/>
      <c r="E11" s="53"/>
      <c r="F11" s="59" t="s">
        <v>57</v>
      </c>
      <c r="G11" s="53" t="s">
        <v>54</v>
      </c>
      <c r="H11" s="60">
        <v>1</v>
      </c>
      <c r="I11" s="61"/>
      <c r="J11" s="61"/>
      <c r="K11" s="61"/>
      <c r="L11" s="55"/>
    </row>
    <row r="12" spans="1:12" ht="16.5" thickBot="1" x14ac:dyDescent="0.3">
      <c r="A12" s="53"/>
      <c r="B12" s="53"/>
      <c r="C12" s="53"/>
      <c r="D12" s="53"/>
      <c r="E12" s="53"/>
      <c r="F12" s="63" t="s">
        <v>58</v>
      </c>
      <c r="G12" s="60" t="s">
        <v>59</v>
      </c>
      <c r="H12" s="129">
        <v>7</v>
      </c>
      <c r="I12" s="61"/>
      <c r="J12" s="61"/>
      <c r="K12" s="61"/>
      <c r="L12" s="55"/>
    </row>
    <row r="13" spans="1:12" ht="16.5" thickBot="1" x14ac:dyDescent="0.3">
      <c r="A13" s="53"/>
      <c r="B13" s="53"/>
      <c r="C13" s="53"/>
      <c r="D13" s="53"/>
      <c r="E13" s="53"/>
      <c r="F13" s="58" t="s">
        <v>60</v>
      </c>
      <c r="G13" s="60" t="s">
        <v>59</v>
      </c>
      <c r="H13" s="129">
        <v>7</v>
      </c>
      <c r="I13" s="61"/>
      <c r="J13" s="61"/>
      <c r="K13" s="61"/>
      <c r="L13" s="55"/>
    </row>
    <row r="14" spans="1:12" ht="16.5" thickBot="1" x14ac:dyDescent="0.3">
      <c r="A14" s="53"/>
      <c r="B14" s="53"/>
      <c r="C14" s="53"/>
      <c r="D14" s="53"/>
      <c r="E14" s="53"/>
      <c r="F14" s="59" t="s">
        <v>61</v>
      </c>
      <c r="G14" s="53" t="s">
        <v>54</v>
      </c>
      <c r="H14" s="60">
        <v>1</v>
      </c>
      <c r="I14" s="61"/>
      <c r="J14" s="61"/>
      <c r="K14" s="61"/>
      <c r="L14" s="55"/>
    </row>
    <row r="15" spans="1:12" ht="16.5" thickBot="1" x14ac:dyDescent="0.3">
      <c r="A15" s="53"/>
      <c r="B15" s="53"/>
      <c r="C15" s="53"/>
      <c r="D15" s="53"/>
      <c r="E15" s="53"/>
      <c r="F15" s="63"/>
      <c r="G15" s="53"/>
      <c r="H15" s="64" t="s">
        <v>62</v>
      </c>
      <c r="I15" s="65">
        <f>SUM(I7:I14)</f>
        <v>0</v>
      </c>
      <c r="J15" s="65">
        <f>SUM(J7:J14)</f>
        <v>0</v>
      </c>
      <c r="K15" s="66">
        <f>SUM(K7:K14)</f>
        <v>0</v>
      </c>
      <c r="L15" s="55"/>
    </row>
    <row r="16" spans="1:12" ht="16.5" thickBot="1" x14ac:dyDescent="0.3">
      <c r="A16" s="53"/>
      <c r="B16" s="53"/>
      <c r="C16" s="53"/>
      <c r="D16" s="53"/>
      <c r="E16" s="53"/>
      <c r="F16" s="68" t="s">
        <v>63</v>
      </c>
      <c r="G16" s="53"/>
      <c r="H16" s="60"/>
      <c r="I16" s="55"/>
      <c r="J16" s="55"/>
      <c r="K16" s="55"/>
      <c r="L16" s="55"/>
    </row>
    <row r="17" spans="1:18" ht="16.5" thickBot="1" x14ac:dyDescent="0.3">
      <c r="A17" s="53"/>
      <c r="B17" s="53"/>
      <c r="C17" s="53"/>
      <c r="D17" s="53"/>
      <c r="E17" s="53"/>
      <c r="F17" s="58" t="s">
        <v>64</v>
      </c>
      <c r="G17" s="53" t="s">
        <v>54</v>
      </c>
      <c r="H17" s="53">
        <v>1</v>
      </c>
      <c r="I17" s="55"/>
      <c r="J17" s="55"/>
      <c r="K17" s="55"/>
      <c r="L17" s="55"/>
    </row>
    <row r="18" spans="1:18" ht="16.5" thickBot="1" x14ac:dyDescent="0.3">
      <c r="A18" s="53"/>
      <c r="B18" s="53"/>
      <c r="C18" s="53"/>
      <c r="D18" s="53"/>
      <c r="E18" s="53"/>
      <c r="F18" s="58" t="s">
        <v>65</v>
      </c>
      <c r="G18" s="53" t="s">
        <v>59</v>
      </c>
      <c r="H18" s="129">
        <v>7</v>
      </c>
      <c r="I18" s="55"/>
      <c r="J18" s="55"/>
      <c r="K18" s="55"/>
      <c r="L18" s="55"/>
    </row>
    <row r="19" spans="1:18" ht="16.5" thickBot="1" x14ac:dyDescent="0.3">
      <c r="A19" s="53"/>
      <c r="B19" s="53"/>
      <c r="C19" s="53"/>
      <c r="D19" s="53"/>
      <c r="E19" s="53"/>
      <c r="F19" s="58" t="s">
        <v>66</v>
      </c>
      <c r="G19" s="53" t="s">
        <v>59</v>
      </c>
      <c r="H19" s="129">
        <v>7</v>
      </c>
      <c r="I19" s="55"/>
      <c r="J19" s="55"/>
      <c r="K19" s="55"/>
      <c r="L19" s="55"/>
    </row>
    <row r="20" spans="1:18" ht="16.5" thickBot="1" x14ac:dyDescent="0.3">
      <c r="A20" s="53"/>
      <c r="B20" s="53"/>
      <c r="C20" s="53"/>
      <c r="D20" s="53"/>
      <c r="E20" s="53"/>
      <c r="F20" s="58" t="s">
        <v>67</v>
      </c>
      <c r="G20" s="53" t="s">
        <v>59</v>
      </c>
      <c r="H20" s="129">
        <v>7</v>
      </c>
      <c r="I20" s="55"/>
      <c r="J20" s="55"/>
      <c r="K20" s="55"/>
      <c r="L20" s="55"/>
    </row>
    <row r="21" spans="1:18" ht="16.5" thickBot="1" x14ac:dyDescent="0.3">
      <c r="A21" s="53"/>
      <c r="B21" s="53"/>
      <c r="C21" s="53"/>
      <c r="D21" s="53"/>
      <c r="E21" s="53"/>
      <c r="F21" s="59" t="s">
        <v>68</v>
      </c>
      <c r="G21" s="53" t="s">
        <v>54</v>
      </c>
      <c r="H21" s="60">
        <v>1</v>
      </c>
      <c r="I21" s="61"/>
      <c r="J21" s="61"/>
      <c r="K21" s="61"/>
      <c r="L21" s="55"/>
    </row>
    <row r="22" spans="1:18" ht="16.5" thickBot="1" x14ac:dyDescent="0.3">
      <c r="A22" s="53"/>
      <c r="B22" s="53"/>
      <c r="C22" s="53"/>
      <c r="D22" s="53"/>
      <c r="E22" s="53"/>
      <c r="F22" s="59" t="s">
        <v>68</v>
      </c>
      <c r="G22" s="53" t="s">
        <v>54</v>
      </c>
      <c r="H22" s="60">
        <v>1</v>
      </c>
      <c r="I22" s="61"/>
      <c r="J22" s="61"/>
      <c r="K22" s="61"/>
      <c r="L22" s="55"/>
    </row>
    <row r="23" spans="1:18" ht="16.5" thickBot="1" x14ac:dyDescent="0.3">
      <c r="A23" s="53"/>
      <c r="B23" s="53"/>
      <c r="C23" s="53"/>
      <c r="D23" s="53"/>
      <c r="E23" s="53"/>
      <c r="F23" s="59" t="s">
        <v>69</v>
      </c>
      <c r="G23" s="53" t="s">
        <v>54</v>
      </c>
      <c r="H23" s="60">
        <v>1</v>
      </c>
      <c r="I23" s="61"/>
      <c r="J23" s="61"/>
      <c r="K23" s="61"/>
      <c r="L23" s="55"/>
    </row>
    <row r="24" spans="1:18" ht="16.5" thickBot="1" x14ac:dyDescent="0.3">
      <c r="A24" s="53"/>
      <c r="B24" s="53"/>
      <c r="C24" s="53"/>
      <c r="D24" s="53"/>
      <c r="E24" s="53"/>
      <c r="F24" s="58" t="s">
        <v>70</v>
      </c>
      <c r="G24" s="53" t="s">
        <v>54</v>
      </c>
      <c r="H24" s="60">
        <v>1</v>
      </c>
      <c r="I24" s="61"/>
      <c r="J24" s="61"/>
      <c r="K24" s="61"/>
      <c r="L24" s="55"/>
    </row>
    <row r="25" spans="1:18" ht="16.5" thickBot="1" x14ac:dyDescent="0.3">
      <c r="A25" s="53"/>
      <c r="B25" s="53"/>
      <c r="C25" s="53"/>
      <c r="D25" s="53"/>
      <c r="E25" s="53"/>
      <c r="F25" s="58" t="s">
        <v>71</v>
      </c>
      <c r="G25" s="53" t="s">
        <v>54</v>
      </c>
      <c r="H25" s="60">
        <v>1</v>
      </c>
      <c r="I25" s="61"/>
      <c r="J25" s="61"/>
      <c r="K25" s="61"/>
      <c r="L25" s="55"/>
      <c r="M25" s="56"/>
      <c r="N25" s="37"/>
      <c r="O25" s="38"/>
      <c r="P25" s="38"/>
      <c r="Q25" s="38"/>
      <c r="R25" s="38"/>
    </row>
    <row r="26" spans="1:18" ht="16.5" thickBot="1" x14ac:dyDescent="0.3">
      <c r="A26" s="53"/>
      <c r="B26" s="53"/>
      <c r="C26" s="53"/>
      <c r="D26" s="53"/>
      <c r="E26" s="53"/>
      <c r="F26" s="58" t="s">
        <v>72</v>
      </c>
      <c r="G26" s="53" t="s">
        <v>54</v>
      </c>
      <c r="H26" s="60">
        <v>1</v>
      </c>
      <c r="I26" s="61"/>
      <c r="J26" s="61"/>
      <c r="K26" s="61"/>
      <c r="L26" s="55"/>
      <c r="M26" s="56"/>
      <c r="N26" s="37"/>
      <c r="O26" s="38"/>
      <c r="P26" s="38"/>
      <c r="Q26" s="38"/>
      <c r="R26" s="38"/>
    </row>
    <row r="27" spans="1:18" ht="16.5" thickBot="1" x14ac:dyDescent="0.3">
      <c r="A27" s="53"/>
      <c r="B27" s="53"/>
      <c r="C27" s="53"/>
      <c r="D27" s="53"/>
      <c r="E27" s="53"/>
      <c r="F27" s="58" t="s">
        <v>73</v>
      </c>
      <c r="G27" s="53" t="s">
        <v>54</v>
      </c>
      <c r="H27" s="60">
        <v>1</v>
      </c>
      <c r="I27" s="61"/>
      <c r="J27" s="61"/>
      <c r="K27" s="61"/>
      <c r="L27" s="55"/>
      <c r="M27" s="56"/>
      <c r="N27" s="37"/>
      <c r="O27" s="38"/>
      <c r="P27" s="38"/>
      <c r="Q27" s="38"/>
      <c r="R27" s="38"/>
    </row>
    <row r="28" spans="1:18" ht="16.5" thickBot="1" x14ac:dyDescent="0.3">
      <c r="A28" s="53"/>
      <c r="B28" s="53"/>
      <c r="C28" s="53"/>
      <c r="D28" s="53"/>
      <c r="E28" s="53"/>
      <c r="F28" s="58" t="s">
        <v>74</v>
      </c>
      <c r="G28" s="53" t="s">
        <v>54</v>
      </c>
      <c r="H28" s="60">
        <v>1</v>
      </c>
      <c r="I28" s="61"/>
      <c r="J28" s="61"/>
      <c r="K28" s="61"/>
      <c r="L28" s="55"/>
      <c r="M28" s="56"/>
      <c r="N28" s="37"/>
      <c r="O28" s="38"/>
      <c r="P28" s="38"/>
      <c r="Q28" s="38"/>
      <c r="R28" s="38"/>
    </row>
    <row r="29" spans="1:18" ht="16.5" thickBot="1" x14ac:dyDescent="0.3">
      <c r="A29" s="53"/>
      <c r="B29" s="53"/>
      <c r="C29" s="53"/>
      <c r="D29" s="53"/>
      <c r="E29" s="53"/>
      <c r="F29" s="69" t="s">
        <v>1</v>
      </c>
      <c r="G29" s="53"/>
      <c r="H29" s="60"/>
      <c r="I29" s="61"/>
      <c r="J29" s="61"/>
      <c r="K29" s="61"/>
      <c r="L29" s="55"/>
      <c r="M29" s="56"/>
      <c r="N29" s="37"/>
      <c r="O29" s="38"/>
      <c r="P29" s="38"/>
      <c r="Q29" s="38"/>
      <c r="R29" s="38"/>
    </row>
    <row r="30" spans="1:18" ht="16.5" thickBot="1" x14ac:dyDescent="0.3">
      <c r="A30" s="53"/>
      <c r="B30" s="53"/>
      <c r="C30" s="53"/>
      <c r="D30" s="53"/>
      <c r="E30" s="53"/>
      <c r="F30" s="58" t="s">
        <v>124</v>
      </c>
      <c r="G30" s="53" t="s">
        <v>54</v>
      </c>
      <c r="H30" s="53">
        <v>1</v>
      </c>
      <c r="I30" s="61"/>
      <c r="J30" s="61"/>
      <c r="K30" s="61"/>
      <c r="L30" s="55"/>
      <c r="M30" s="56"/>
      <c r="N30" s="37"/>
      <c r="O30" s="38"/>
      <c r="P30" s="38"/>
      <c r="Q30" s="38"/>
      <c r="R30" s="38"/>
    </row>
    <row r="31" spans="1:18" ht="16.5" thickBot="1" x14ac:dyDescent="0.3">
      <c r="A31" s="53"/>
      <c r="B31" s="53"/>
      <c r="C31" s="53"/>
      <c r="D31" s="53"/>
      <c r="E31" s="53"/>
      <c r="F31" s="58" t="s">
        <v>125</v>
      </c>
      <c r="G31" s="53" t="s">
        <v>54</v>
      </c>
      <c r="H31" s="53">
        <v>1</v>
      </c>
      <c r="I31" s="61"/>
      <c r="J31" s="61"/>
      <c r="K31" s="61"/>
      <c r="L31" s="55"/>
      <c r="M31" s="56"/>
      <c r="N31" s="37"/>
      <c r="O31" s="38"/>
      <c r="P31" s="38"/>
      <c r="Q31" s="38"/>
      <c r="R31" s="38"/>
    </row>
    <row r="32" spans="1:18" ht="16.5" thickBot="1" x14ac:dyDescent="0.3">
      <c r="A32" s="53"/>
      <c r="B32" s="53"/>
      <c r="C32" s="53"/>
      <c r="D32" s="53"/>
      <c r="E32" s="53"/>
      <c r="F32" s="58" t="s">
        <v>126</v>
      </c>
      <c r="G32" s="53" t="s">
        <v>54</v>
      </c>
      <c r="H32" s="53">
        <v>1</v>
      </c>
      <c r="I32" s="61"/>
      <c r="J32" s="61"/>
      <c r="K32" s="61"/>
      <c r="L32" s="55"/>
      <c r="M32" s="56"/>
      <c r="N32" s="37"/>
      <c r="O32" s="38"/>
      <c r="P32" s="38"/>
      <c r="Q32" s="38"/>
      <c r="R32" s="38"/>
    </row>
    <row r="33" spans="1:18" ht="16.5" thickBot="1" x14ac:dyDescent="0.3">
      <c r="A33" s="53"/>
      <c r="B33" s="53"/>
      <c r="C33" s="53"/>
      <c r="D33" s="53"/>
      <c r="E33" s="53"/>
      <c r="F33" s="58" t="s">
        <v>127</v>
      </c>
      <c r="G33" s="53" t="s">
        <v>54</v>
      </c>
      <c r="H33" s="53">
        <v>1</v>
      </c>
      <c r="I33" s="61"/>
      <c r="J33" s="61"/>
      <c r="K33" s="61"/>
      <c r="L33" s="55"/>
      <c r="M33" s="56"/>
      <c r="N33" s="37"/>
      <c r="O33" s="38"/>
      <c r="P33" s="38"/>
      <c r="Q33" s="38"/>
      <c r="R33" s="38"/>
    </row>
    <row r="34" spans="1:18" ht="16.5" thickBot="1" x14ac:dyDescent="0.3">
      <c r="A34" s="53"/>
      <c r="B34" s="53"/>
      <c r="C34" s="53"/>
      <c r="D34" s="53"/>
      <c r="E34" s="53"/>
      <c r="F34" s="58" t="s">
        <v>5</v>
      </c>
      <c r="G34" s="53" t="s">
        <v>54</v>
      </c>
      <c r="H34" s="60">
        <v>1</v>
      </c>
      <c r="I34" s="61"/>
      <c r="J34" s="61"/>
      <c r="K34" s="61"/>
      <c r="L34" s="55"/>
      <c r="M34" s="56"/>
      <c r="N34" s="37"/>
      <c r="O34" s="38"/>
      <c r="P34" s="38"/>
      <c r="Q34" s="38"/>
      <c r="R34" s="38"/>
    </row>
    <row r="35" spans="1:18" ht="16.5" thickBot="1" x14ac:dyDescent="0.3">
      <c r="A35" s="53"/>
      <c r="B35" s="53"/>
      <c r="C35" s="53"/>
      <c r="D35" s="53"/>
      <c r="E35" s="53"/>
      <c r="F35" s="63"/>
      <c r="G35" s="53"/>
      <c r="H35" s="64" t="s">
        <v>62</v>
      </c>
      <c r="I35" s="65">
        <f>SUM(I16:I34)</f>
        <v>0</v>
      </c>
      <c r="J35" s="65">
        <f>SUM(J16:J34)</f>
        <v>0</v>
      </c>
      <c r="K35" s="66">
        <f>SUM(K16:K34)</f>
        <v>0</v>
      </c>
      <c r="L35" s="55"/>
      <c r="M35" s="56"/>
      <c r="N35" s="37"/>
      <c r="O35" s="38"/>
      <c r="P35" s="38"/>
      <c r="Q35" s="38"/>
      <c r="R35" s="38"/>
    </row>
    <row r="36" spans="1:18" ht="21" thickBot="1" x14ac:dyDescent="0.3">
      <c r="A36" s="53"/>
      <c r="B36" s="70"/>
      <c r="C36" s="70"/>
      <c r="D36" s="70"/>
      <c r="E36" s="70"/>
      <c r="F36" s="71" t="s">
        <v>75</v>
      </c>
      <c r="G36" s="70"/>
      <c r="H36" s="70"/>
      <c r="I36" s="70"/>
      <c r="J36" s="70"/>
      <c r="K36" s="72"/>
      <c r="L36" s="73"/>
    </row>
    <row r="37" spans="1:18" ht="16.5" thickBot="1" x14ac:dyDescent="0.3">
      <c r="A37" s="53"/>
      <c r="B37" s="53"/>
      <c r="C37" s="53"/>
      <c r="D37" s="53"/>
      <c r="E37" s="53"/>
      <c r="F37" s="75" t="s">
        <v>76</v>
      </c>
      <c r="G37" s="129" t="s">
        <v>77</v>
      </c>
      <c r="H37" s="129"/>
      <c r="I37" s="192"/>
      <c r="J37" s="193"/>
      <c r="K37" s="106"/>
      <c r="L37" s="55"/>
    </row>
    <row r="38" spans="1:18" ht="16.5" thickBot="1" x14ac:dyDescent="0.3">
      <c r="A38" s="53"/>
      <c r="B38" s="53"/>
      <c r="C38" s="53"/>
      <c r="D38" s="53"/>
      <c r="E38" s="53"/>
      <c r="F38" s="63" t="s">
        <v>128</v>
      </c>
      <c r="G38" s="60" t="s">
        <v>54</v>
      </c>
      <c r="H38" s="82">
        <v>1</v>
      </c>
      <c r="I38" s="192"/>
      <c r="J38" s="193"/>
      <c r="K38" s="106"/>
      <c r="L38" s="55"/>
    </row>
    <row r="39" spans="1:18" ht="16.5" thickBot="1" x14ac:dyDescent="0.3">
      <c r="A39" s="53"/>
      <c r="B39" s="53"/>
      <c r="C39" s="53"/>
      <c r="D39" s="53"/>
      <c r="E39" s="53"/>
      <c r="F39" s="63" t="s">
        <v>78</v>
      </c>
      <c r="G39" s="129" t="s">
        <v>79</v>
      </c>
      <c r="H39" s="129"/>
      <c r="I39" s="192"/>
      <c r="J39" s="193"/>
      <c r="K39" s="106"/>
      <c r="L39" s="55"/>
    </row>
    <row r="40" spans="1:18" ht="16.5" thickBot="1" x14ac:dyDescent="0.3">
      <c r="A40" s="53"/>
      <c r="B40" s="53"/>
      <c r="C40" s="53"/>
      <c r="D40" s="53"/>
      <c r="E40" s="53"/>
      <c r="F40" s="63" t="s">
        <v>133</v>
      </c>
      <c r="G40" s="129" t="s">
        <v>79</v>
      </c>
      <c r="H40" s="129"/>
      <c r="I40" s="192"/>
      <c r="J40" s="193"/>
      <c r="K40" s="106"/>
      <c r="L40" s="55"/>
    </row>
    <row r="41" spans="1:18" ht="16.5" thickBot="1" x14ac:dyDescent="0.3">
      <c r="A41" s="53"/>
      <c r="B41" s="53"/>
      <c r="C41" s="53"/>
      <c r="D41" s="53"/>
      <c r="E41" s="53"/>
      <c r="F41" s="63" t="s">
        <v>80</v>
      </c>
      <c r="G41" s="53" t="s">
        <v>59</v>
      </c>
      <c r="H41" s="131">
        <v>6</v>
      </c>
      <c r="I41" s="192"/>
      <c r="J41" s="193"/>
      <c r="K41" s="106"/>
      <c r="L41" s="55"/>
    </row>
    <row r="42" spans="1:18" ht="16.5" thickBot="1" x14ac:dyDescent="0.3">
      <c r="A42" s="53"/>
      <c r="B42" s="53"/>
      <c r="C42" s="53"/>
      <c r="D42" s="53"/>
      <c r="E42" s="53"/>
      <c r="F42" s="63" t="s">
        <v>81</v>
      </c>
      <c r="G42" s="53" t="s">
        <v>131</v>
      </c>
      <c r="H42" s="79">
        <v>2</v>
      </c>
      <c r="I42" s="192"/>
      <c r="J42" s="193"/>
      <c r="K42" s="106"/>
      <c r="L42" s="55"/>
    </row>
    <row r="43" spans="1:18" ht="16.5" thickBot="1" x14ac:dyDescent="0.3">
      <c r="A43" s="53"/>
      <c r="B43" s="53"/>
      <c r="C43" s="53"/>
      <c r="D43" s="53"/>
      <c r="E43" s="53"/>
      <c r="F43" s="58" t="s">
        <v>137</v>
      </c>
      <c r="G43" s="53" t="s">
        <v>59</v>
      </c>
      <c r="H43" s="60">
        <v>6</v>
      </c>
      <c r="I43" s="192"/>
      <c r="J43" s="193"/>
      <c r="K43" s="106"/>
      <c r="L43" s="55"/>
    </row>
    <row r="44" spans="1:18" ht="16.5" thickBot="1" x14ac:dyDescent="0.3">
      <c r="A44" s="53"/>
      <c r="B44" s="53"/>
      <c r="C44" s="53"/>
      <c r="D44" s="53"/>
      <c r="E44" s="53"/>
      <c r="F44" s="58" t="s">
        <v>134</v>
      </c>
      <c r="G44" s="129" t="s">
        <v>79</v>
      </c>
      <c r="H44" s="130"/>
      <c r="I44" s="192"/>
      <c r="J44" s="193"/>
      <c r="K44" s="106"/>
      <c r="L44" s="55"/>
    </row>
    <row r="45" spans="1:18" ht="16.5" thickBot="1" x14ac:dyDescent="0.3">
      <c r="A45" s="53"/>
      <c r="B45" s="53"/>
      <c r="C45" s="53"/>
      <c r="D45" s="53"/>
      <c r="E45" s="53"/>
      <c r="F45" s="63" t="s">
        <v>135</v>
      </c>
      <c r="G45" s="129" t="s">
        <v>88</v>
      </c>
      <c r="H45" s="130"/>
      <c r="I45" s="192"/>
      <c r="J45" s="193"/>
      <c r="K45" s="106"/>
      <c r="L45" s="55"/>
    </row>
    <row r="46" spans="1:18" ht="16.5" thickBot="1" x14ac:dyDescent="0.3">
      <c r="A46" s="53"/>
      <c r="B46" s="53"/>
      <c r="C46" s="53"/>
      <c r="D46" s="53"/>
      <c r="E46" s="53"/>
      <c r="F46" s="63" t="s">
        <v>136</v>
      </c>
      <c r="G46" s="53" t="s">
        <v>59</v>
      </c>
      <c r="H46" s="60">
        <v>2</v>
      </c>
      <c r="I46" s="192"/>
      <c r="J46" s="193"/>
      <c r="K46" s="106"/>
      <c r="L46" s="55"/>
    </row>
    <row r="47" spans="1:18" ht="16.5" thickBot="1" x14ac:dyDescent="0.3">
      <c r="A47" s="53"/>
      <c r="B47" s="53"/>
      <c r="C47" s="53"/>
      <c r="D47" s="53"/>
      <c r="E47" s="53"/>
      <c r="F47" s="58" t="s">
        <v>139</v>
      </c>
      <c r="G47" s="53" t="s">
        <v>59</v>
      </c>
      <c r="H47" s="60">
        <v>2</v>
      </c>
      <c r="I47" s="192"/>
      <c r="J47" s="193"/>
      <c r="K47" s="106"/>
      <c r="L47" s="55"/>
    </row>
    <row r="48" spans="1:18" ht="16.5" thickBot="1" x14ac:dyDescent="0.3">
      <c r="A48" s="53"/>
      <c r="B48" s="53"/>
      <c r="C48" s="53"/>
      <c r="D48" s="53"/>
      <c r="E48" s="53"/>
      <c r="F48" s="58" t="s">
        <v>138</v>
      </c>
      <c r="G48" s="60" t="s">
        <v>77</v>
      </c>
      <c r="H48" s="82">
        <v>1</v>
      </c>
      <c r="I48" s="192"/>
      <c r="J48" s="193"/>
      <c r="K48" s="106"/>
      <c r="L48" s="55"/>
    </row>
    <row r="49" spans="1:12" ht="16.5" thickBot="1" x14ac:dyDescent="0.3">
      <c r="A49" s="53"/>
      <c r="B49" s="53"/>
      <c r="C49" s="53"/>
      <c r="D49" s="53"/>
      <c r="E49" s="53"/>
      <c r="F49" s="69" t="s">
        <v>82</v>
      </c>
      <c r="G49" s="53"/>
      <c r="H49" s="53"/>
      <c r="I49" s="192"/>
      <c r="J49" s="193"/>
      <c r="K49" s="106"/>
      <c r="L49" s="55"/>
    </row>
    <row r="50" spans="1:12" ht="41.25" customHeight="1" thickBot="1" x14ac:dyDescent="0.3">
      <c r="A50" s="53"/>
      <c r="B50" s="53"/>
      <c r="C50" s="53"/>
      <c r="D50" s="53"/>
      <c r="E50" s="53"/>
      <c r="F50" s="80" t="s">
        <v>129</v>
      </c>
      <c r="G50" s="53" t="s">
        <v>54</v>
      </c>
      <c r="H50" s="53">
        <v>1</v>
      </c>
      <c r="I50" s="192"/>
      <c r="J50" s="193"/>
      <c r="K50" s="106"/>
      <c r="L50" s="55"/>
    </row>
    <row r="51" spans="1:12" ht="19.5" thickBot="1" x14ac:dyDescent="0.3">
      <c r="A51" s="53"/>
      <c r="B51" s="53"/>
      <c r="C51" s="53"/>
      <c r="D51" s="53"/>
      <c r="E51" s="53"/>
      <c r="F51" s="124" t="s">
        <v>83</v>
      </c>
      <c r="G51" s="53"/>
      <c r="H51" s="53"/>
      <c r="I51" s="192"/>
      <c r="J51" s="193"/>
      <c r="K51" s="106"/>
      <c r="L51" s="55"/>
    </row>
    <row r="52" spans="1:12" ht="48" thickBot="1" x14ac:dyDescent="0.3">
      <c r="A52" s="53"/>
      <c r="B52" s="53"/>
      <c r="C52" s="53"/>
      <c r="D52" s="53"/>
      <c r="E52" s="53"/>
      <c r="F52" s="75" t="s">
        <v>112</v>
      </c>
      <c r="G52" s="53" t="s">
        <v>54</v>
      </c>
      <c r="H52" s="60">
        <v>1</v>
      </c>
      <c r="I52" s="192"/>
      <c r="J52" s="193"/>
      <c r="K52" s="106"/>
      <c r="L52" s="55"/>
    </row>
    <row r="53" spans="1:12" ht="63.75" thickBot="1" x14ac:dyDescent="0.3">
      <c r="A53" s="53"/>
      <c r="B53" s="53"/>
      <c r="C53" s="53"/>
      <c r="D53" s="53"/>
      <c r="E53" s="53"/>
      <c r="F53" s="75" t="s">
        <v>113</v>
      </c>
      <c r="G53" s="53" t="s">
        <v>54</v>
      </c>
      <c r="H53" s="60">
        <v>1</v>
      </c>
      <c r="I53" s="192"/>
      <c r="J53" s="193"/>
      <c r="K53" s="106"/>
      <c r="L53" s="55"/>
    </row>
    <row r="54" spans="1:12" ht="198" customHeight="1" thickBot="1" x14ac:dyDescent="0.3">
      <c r="A54" s="53"/>
      <c r="B54" s="53"/>
      <c r="C54" s="53"/>
      <c r="D54" s="53"/>
      <c r="E54" s="53"/>
      <c r="F54" s="75" t="s">
        <v>114</v>
      </c>
      <c r="G54" s="53" t="s">
        <v>54</v>
      </c>
      <c r="H54" s="60">
        <v>1</v>
      </c>
      <c r="I54" s="192"/>
      <c r="J54" s="193"/>
      <c r="K54" s="106"/>
      <c r="L54" s="55"/>
    </row>
    <row r="55" spans="1:12" ht="34.5" customHeight="1" thickBot="1" x14ac:dyDescent="0.3">
      <c r="A55" s="53"/>
      <c r="B55" s="53"/>
      <c r="C55" s="53"/>
      <c r="D55" s="53"/>
      <c r="E55" s="53"/>
      <c r="F55" s="75" t="s">
        <v>115</v>
      </c>
      <c r="G55" s="53" t="s">
        <v>54</v>
      </c>
      <c r="H55" s="60">
        <v>1</v>
      </c>
      <c r="I55" s="192"/>
      <c r="J55" s="193"/>
      <c r="K55" s="106"/>
      <c r="L55" s="55"/>
    </row>
    <row r="56" spans="1:12" ht="158.25" thickBot="1" x14ac:dyDescent="0.3">
      <c r="A56" s="53"/>
      <c r="B56" s="53"/>
      <c r="C56" s="53"/>
      <c r="D56" s="53"/>
      <c r="E56" s="53"/>
      <c r="F56" s="75" t="s">
        <v>116</v>
      </c>
      <c r="G56" s="53" t="s">
        <v>54</v>
      </c>
      <c r="H56" s="60">
        <v>1</v>
      </c>
      <c r="I56" s="192"/>
      <c r="J56" s="193"/>
      <c r="K56" s="106"/>
      <c r="L56" s="55"/>
    </row>
    <row r="57" spans="1:12" ht="48" thickBot="1" x14ac:dyDescent="0.3">
      <c r="A57" s="53"/>
      <c r="B57" s="53"/>
      <c r="C57" s="53"/>
      <c r="D57" s="53"/>
      <c r="E57" s="53"/>
      <c r="F57" s="75" t="s">
        <v>117</v>
      </c>
      <c r="G57" s="53" t="s">
        <v>54</v>
      </c>
      <c r="H57" s="60">
        <v>1</v>
      </c>
      <c r="I57" s="192"/>
      <c r="J57" s="193"/>
      <c r="K57" s="106"/>
      <c r="L57" s="55"/>
    </row>
    <row r="58" spans="1:12" ht="79.5" thickBot="1" x14ac:dyDescent="0.3">
      <c r="A58" s="53"/>
      <c r="B58" s="53"/>
      <c r="C58" s="53"/>
      <c r="D58" s="53"/>
      <c r="E58" s="53"/>
      <c r="F58" s="75" t="s">
        <v>118</v>
      </c>
      <c r="G58" s="53" t="s">
        <v>54</v>
      </c>
      <c r="H58" s="60">
        <v>1</v>
      </c>
      <c r="I58" s="192"/>
      <c r="J58" s="193"/>
      <c r="K58" s="106"/>
      <c r="L58" s="55"/>
    </row>
    <row r="59" spans="1:12" ht="63.75" thickBot="1" x14ac:dyDescent="0.3">
      <c r="A59" s="53"/>
      <c r="B59" s="53"/>
      <c r="C59" s="53"/>
      <c r="D59" s="53"/>
      <c r="E59" s="53"/>
      <c r="F59" s="75" t="s">
        <v>119</v>
      </c>
      <c r="G59" s="53" t="s">
        <v>54</v>
      </c>
      <c r="H59" s="60">
        <v>1</v>
      </c>
      <c r="I59" s="192"/>
      <c r="J59" s="193"/>
      <c r="K59" s="106"/>
      <c r="L59" s="55"/>
    </row>
    <row r="60" spans="1:12" ht="19.5" thickBot="1" x14ac:dyDescent="0.3">
      <c r="A60" s="53"/>
      <c r="B60" s="53"/>
      <c r="C60" s="53"/>
      <c r="D60" s="53"/>
      <c r="E60" s="53"/>
      <c r="F60" s="125" t="s">
        <v>120</v>
      </c>
      <c r="G60" s="53"/>
      <c r="H60" s="60"/>
      <c r="I60" s="192"/>
      <c r="J60" s="193"/>
      <c r="K60" s="106"/>
      <c r="L60" s="55"/>
    </row>
    <row r="61" spans="1:12" ht="63.75" thickBot="1" x14ac:dyDescent="0.3">
      <c r="A61" s="53"/>
      <c r="B61" s="53"/>
      <c r="C61" s="53"/>
      <c r="D61" s="53"/>
      <c r="E61" s="53"/>
      <c r="F61" s="75" t="s">
        <v>121</v>
      </c>
      <c r="G61" s="53" t="s">
        <v>54</v>
      </c>
      <c r="H61" s="60">
        <v>1</v>
      </c>
      <c r="I61" s="192"/>
      <c r="J61" s="193"/>
      <c r="K61" s="106"/>
      <c r="L61" s="55"/>
    </row>
    <row r="62" spans="1:12" ht="32.25" thickBot="1" x14ac:dyDescent="0.3">
      <c r="A62" s="53"/>
      <c r="B62" s="53"/>
      <c r="C62" s="53"/>
      <c r="D62" s="53"/>
      <c r="E62" s="53"/>
      <c r="F62" s="75" t="s">
        <v>122</v>
      </c>
      <c r="G62" s="53" t="s">
        <v>54</v>
      </c>
      <c r="H62" s="60">
        <v>1</v>
      </c>
      <c r="I62" s="192"/>
      <c r="J62" s="193"/>
      <c r="K62" s="106"/>
      <c r="L62" s="55"/>
    </row>
    <row r="63" spans="1:12" ht="32.25" thickBot="1" x14ac:dyDescent="0.3">
      <c r="A63" s="53"/>
      <c r="B63" s="53"/>
      <c r="C63" s="53"/>
      <c r="D63" s="53"/>
      <c r="E63" s="53"/>
      <c r="F63" s="75" t="s">
        <v>123</v>
      </c>
      <c r="G63" s="53" t="s">
        <v>54</v>
      </c>
      <c r="H63" s="60">
        <v>1</v>
      </c>
      <c r="I63" s="192"/>
      <c r="J63" s="193"/>
      <c r="K63" s="106"/>
      <c r="L63" s="55"/>
    </row>
    <row r="64" spans="1:12" ht="19.5" thickBot="1" x14ac:dyDescent="0.3">
      <c r="A64" s="53"/>
      <c r="B64" s="53"/>
      <c r="C64" s="53"/>
      <c r="D64" s="53"/>
      <c r="E64" s="53"/>
      <c r="F64" s="124" t="s">
        <v>2</v>
      </c>
      <c r="G64" s="53"/>
      <c r="H64" s="53"/>
      <c r="I64" s="192"/>
      <c r="J64" s="193"/>
      <c r="K64" s="106"/>
      <c r="L64" s="55"/>
    </row>
    <row r="65" spans="1:12" ht="48" thickBot="1" x14ac:dyDescent="0.3">
      <c r="A65" s="53"/>
      <c r="B65" s="53"/>
      <c r="C65" s="53"/>
      <c r="D65" s="53"/>
      <c r="E65" s="53"/>
      <c r="F65" s="80" t="s">
        <v>109</v>
      </c>
      <c r="G65" s="53" t="s">
        <v>54</v>
      </c>
      <c r="H65" s="60">
        <v>1</v>
      </c>
      <c r="I65" s="192"/>
      <c r="J65" s="193"/>
      <c r="K65" s="106"/>
      <c r="L65" s="55"/>
    </row>
    <row r="66" spans="1:12" ht="32.25" thickBot="1" x14ac:dyDescent="0.3">
      <c r="A66" s="53"/>
      <c r="B66" s="53"/>
      <c r="C66" s="53"/>
      <c r="D66" s="53"/>
      <c r="E66" s="53"/>
      <c r="F66" s="80" t="s">
        <v>110</v>
      </c>
      <c r="G66" s="53" t="s">
        <v>54</v>
      </c>
      <c r="H66" s="60">
        <v>1</v>
      </c>
      <c r="I66" s="192"/>
      <c r="J66" s="193"/>
      <c r="K66" s="106"/>
      <c r="L66" s="55"/>
    </row>
    <row r="67" spans="1:12" ht="32.25" thickBot="1" x14ac:dyDescent="0.3">
      <c r="A67" s="53"/>
      <c r="B67" s="53"/>
      <c r="C67" s="53"/>
      <c r="D67" s="53"/>
      <c r="E67" s="53"/>
      <c r="F67" s="80" t="s">
        <v>111</v>
      </c>
      <c r="G67" s="53" t="s">
        <v>54</v>
      </c>
      <c r="H67" s="60">
        <v>1</v>
      </c>
      <c r="I67" s="192"/>
      <c r="J67" s="193"/>
      <c r="K67" s="106"/>
      <c r="L67" s="55"/>
    </row>
    <row r="68" spans="1:12" ht="16.5" thickBot="1" x14ac:dyDescent="0.3">
      <c r="A68" s="53"/>
      <c r="B68" s="53"/>
      <c r="C68" s="53"/>
      <c r="D68" s="53"/>
      <c r="E68" s="53"/>
      <c r="F68" s="98"/>
      <c r="G68" s="481"/>
      <c r="H68" s="482"/>
      <c r="I68" s="64" t="s">
        <v>62</v>
      </c>
      <c r="J68" s="65"/>
      <c r="K68" s="65"/>
      <c r="L68" s="66"/>
    </row>
    <row r="69" spans="1:12" ht="23.25" thickBot="1" x14ac:dyDescent="0.3">
      <c r="A69" s="50"/>
      <c r="B69" s="50"/>
      <c r="C69" s="50"/>
      <c r="D69" s="85"/>
      <c r="E69" s="85"/>
      <c r="F69" s="85" t="s">
        <v>24</v>
      </c>
      <c r="G69" s="85"/>
      <c r="H69" s="85"/>
      <c r="I69" s="85"/>
      <c r="J69" s="85"/>
      <c r="K69" s="86"/>
      <c r="L69" s="86"/>
    </row>
    <row r="70" spans="1:12" s="38" customFormat="1" ht="48.75" customHeight="1" thickBot="1" x14ac:dyDescent="0.3">
      <c r="A70" s="60"/>
      <c r="B70" s="60" t="s">
        <v>84</v>
      </c>
      <c r="C70" s="53" t="s">
        <v>85</v>
      </c>
      <c r="D70" s="53"/>
      <c r="E70" s="53"/>
      <c r="F70" s="75" t="s">
        <v>140</v>
      </c>
      <c r="G70" s="53" t="s">
        <v>77</v>
      </c>
      <c r="H70" s="79">
        <v>6</v>
      </c>
      <c r="I70" s="79"/>
      <c r="J70" s="79"/>
      <c r="K70" s="81"/>
      <c r="L70" s="55"/>
    </row>
    <row r="71" spans="1:12" s="38" customFormat="1" ht="32.25" thickBot="1" x14ac:dyDescent="0.3">
      <c r="A71" s="60"/>
      <c r="B71" s="60" t="s">
        <v>87</v>
      </c>
      <c r="C71" s="60" t="s">
        <v>85</v>
      </c>
      <c r="D71" s="60"/>
      <c r="E71" s="60"/>
      <c r="F71" s="75" t="s">
        <v>141</v>
      </c>
      <c r="G71" s="90" t="s">
        <v>88</v>
      </c>
      <c r="H71" s="92">
        <v>7</v>
      </c>
      <c r="I71" s="79"/>
      <c r="J71" s="79"/>
      <c r="K71" s="81"/>
      <c r="L71" s="55"/>
    </row>
    <row r="72" spans="1:12" s="38" customFormat="1" ht="79.5" thickBot="1" x14ac:dyDescent="0.3">
      <c r="A72" s="60"/>
      <c r="B72" s="60" t="s">
        <v>89</v>
      </c>
      <c r="C72" s="60" t="s">
        <v>90</v>
      </c>
      <c r="D72" s="60"/>
      <c r="E72" s="60"/>
      <c r="F72" s="75" t="s">
        <v>142</v>
      </c>
      <c r="G72" s="90" t="s">
        <v>88</v>
      </c>
      <c r="H72" s="93">
        <v>15</v>
      </c>
      <c r="I72" s="79"/>
      <c r="J72" s="79"/>
      <c r="K72" s="81"/>
      <c r="L72" s="55"/>
    </row>
    <row r="73" spans="1:12" s="38" customFormat="1" ht="48" thickBot="1" x14ac:dyDescent="0.3">
      <c r="A73" s="60"/>
      <c r="B73" s="60" t="s">
        <v>91</v>
      </c>
      <c r="C73" s="60" t="s">
        <v>92</v>
      </c>
      <c r="D73" s="60"/>
      <c r="E73" s="60"/>
      <c r="F73" s="75" t="s">
        <v>143</v>
      </c>
      <c r="G73" s="90" t="s">
        <v>79</v>
      </c>
      <c r="H73" s="92">
        <v>198</v>
      </c>
      <c r="I73" s="79"/>
      <c r="J73" s="79"/>
      <c r="K73" s="81"/>
      <c r="L73" s="55"/>
    </row>
    <row r="74" spans="1:12" s="38" customFormat="1" ht="48" thickBot="1" x14ac:dyDescent="0.3">
      <c r="A74" s="60"/>
      <c r="B74" s="60" t="s">
        <v>93</v>
      </c>
      <c r="C74" s="60" t="s">
        <v>92</v>
      </c>
      <c r="D74" s="60"/>
      <c r="E74" s="60"/>
      <c r="F74" s="94" t="s">
        <v>144</v>
      </c>
      <c r="G74" s="126" t="s">
        <v>88</v>
      </c>
      <c r="H74" s="127">
        <v>25</v>
      </c>
      <c r="I74" s="79"/>
      <c r="J74" s="79"/>
      <c r="K74" s="81"/>
      <c r="L74" s="55"/>
    </row>
    <row r="75" spans="1:12" s="38" customFormat="1" ht="48" thickBot="1" x14ac:dyDescent="0.3">
      <c r="A75" s="60"/>
      <c r="B75" s="60" t="s">
        <v>94</v>
      </c>
      <c r="C75" s="60" t="s">
        <v>95</v>
      </c>
      <c r="D75" s="60"/>
      <c r="E75" s="60"/>
      <c r="F75" s="75" t="s">
        <v>145</v>
      </c>
      <c r="G75" s="90" t="s">
        <v>77</v>
      </c>
      <c r="H75" s="92">
        <v>7</v>
      </c>
      <c r="I75" s="79"/>
      <c r="J75" s="79"/>
      <c r="K75" s="81"/>
      <c r="L75" s="55"/>
    </row>
    <row r="76" spans="1:12" s="38" customFormat="1" ht="48" thickBot="1" x14ac:dyDescent="0.3">
      <c r="A76" s="60"/>
      <c r="B76" s="60" t="s">
        <v>96</v>
      </c>
      <c r="C76" s="60" t="s">
        <v>95</v>
      </c>
      <c r="D76" s="60"/>
      <c r="E76" s="60"/>
      <c r="F76" s="75" t="s">
        <v>146</v>
      </c>
      <c r="G76" s="90" t="s">
        <v>97</v>
      </c>
      <c r="H76" s="92">
        <v>340</v>
      </c>
      <c r="I76" s="79"/>
      <c r="J76" s="79"/>
      <c r="K76" s="81"/>
      <c r="L76" s="55"/>
    </row>
    <row r="77" spans="1:12" ht="16.5" thickBot="1" x14ac:dyDescent="0.3">
      <c r="A77" s="53"/>
      <c r="B77" s="53"/>
      <c r="C77" s="53"/>
      <c r="D77" s="53"/>
      <c r="E77" s="53"/>
      <c r="F77" s="63"/>
      <c r="G77" s="95"/>
      <c r="H77" s="64" t="s">
        <v>62</v>
      </c>
      <c r="I77" s="64"/>
      <c r="J77" s="64"/>
      <c r="K77" s="65"/>
      <c r="L77" s="66">
        <f>SUM(L70:L76)</f>
        <v>0</v>
      </c>
    </row>
    <row r="78" spans="1:12" ht="21" thickBot="1" x14ac:dyDescent="0.3">
      <c r="A78" s="96"/>
      <c r="B78" s="70"/>
      <c r="C78" s="70"/>
      <c r="D78" s="70"/>
      <c r="E78" s="70"/>
      <c r="F78" s="71" t="s">
        <v>26</v>
      </c>
      <c r="G78" s="70"/>
      <c r="H78" s="70"/>
      <c r="I78" s="70"/>
      <c r="J78" s="70"/>
      <c r="K78" s="72"/>
      <c r="L78" s="73"/>
    </row>
    <row r="79" spans="1:12" s="38" customFormat="1" ht="98.25" customHeight="1" thickBot="1" x14ac:dyDescent="0.3">
      <c r="A79" s="60"/>
      <c r="B79" s="60" t="s">
        <v>89</v>
      </c>
      <c r="C79" s="60" t="s">
        <v>90</v>
      </c>
      <c r="D79" s="60"/>
      <c r="E79" s="60"/>
      <c r="F79" s="75" t="s">
        <v>382</v>
      </c>
      <c r="G79" s="90" t="s">
        <v>88</v>
      </c>
      <c r="H79" s="93">
        <v>15</v>
      </c>
      <c r="I79" s="114"/>
      <c r="J79" s="201"/>
      <c r="K79" s="106"/>
      <c r="L79" s="55"/>
    </row>
    <row r="80" spans="1:12" s="38" customFormat="1" ht="16.5" thickBot="1" x14ac:dyDescent="0.3">
      <c r="A80" s="60"/>
      <c r="B80" s="60"/>
      <c r="C80" s="60"/>
      <c r="D80" s="60"/>
      <c r="E80" s="60"/>
      <c r="F80" s="75" t="s">
        <v>365</v>
      </c>
      <c r="G80" s="114" t="s">
        <v>88</v>
      </c>
      <c r="H80" s="205">
        <f>H79</f>
        <v>15</v>
      </c>
      <c r="I80" s="165" t="s">
        <v>364</v>
      </c>
      <c r="J80" s="201">
        <f>ROUNDUP(H80/80,0)</f>
        <v>1</v>
      </c>
      <c r="K80" s="106">
        <f>'Manufacturer list'!G4</f>
        <v>203.34299999999999</v>
      </c>
      <c r="L80" s="55">
        <f t="shared" ref="L80:L87" si="0">J80*K80</f>
        <v>203.34299999999999</v>
      </c>
    </row>
    <row r="81" spans="1:12" s="38" customFormat="1" ht="16.5" thickBot="1" x14ac:dyDescent="0.3">
      <c r="A81" s="60"/>
      <c r="B81" s="60"/>
      <c r="C81" s="60"/>
      <c r="D81" s="60"/>
      <c r="E81" s="60"/>
      <c r="F81" s="75" t="s">
        <v>379</v>
      </c>
      <c r="G81" s="114" t="s">
        <v>79</v>
      </c>
      <c r="H81" s="205">
        <f>3.4*H79</f>
        <v>51</v>
      </c>
      <c r="I81" s="114" t="s">
        <v>361</v>
      </c>
      <c r="J81" s="201">
        <f>ROUNDUP(H81/150,0)</f>
        <v>1</v>
      </c>
      <c r="K81" s="106">
        <f>'Manufacturer list'!G6</f>
        <v>162.21450000000002</v>
      </c>
      <c r="L81" s="55">
        <f t="shared" si="0"/>
        <v>162.21450000000002</v>
      </c>
    </row>
    <row r="82" spans="1:12" s="38" customFormat="1" ht="16.5" thickBot="1" x14ac:dyDescent="0.3">
      <c r="A82" s="60"/>
      <c r="B82" s="60"/>
      <c r="C82" s="60"/>
      <c r="D82" s="60"/>
      <c r="E82" s="60"/>
      <c r="F82" s="75" t="s">
        <v>292</v>
      </c>
      <c r="G82" s="114" t="s">
        <v>77</v>
      </c>
      <c r="H82" s="205">
        <f>4*H79</f>
        <v>60</v>
      </c>
      <c r="I82" s="114" t="s">
        <v>77</v>
      </c>
      <c r="J82" s="201">
        <f>H82</f>
        <v>60</v>
      </c>
      <c r="K82" s="106">
        <f>'Manufacturer list'!G56</f>
        <v>14.406000000000001</v>
      </c>
      <c r="L82" s="55">
        <f t="shared" si="0"/>
        <v>864.36</v>
      </c>
    </row>
    <row r="83" spans="1:12" s="38" customFormat="1" ht="16.5" thickBot="1" x14ac:dyDescent="0.3">
      <c r="A83" s="60"/>
      <c r="B83" s="60"/>
      <c r="C83" s="60"/>
      <c r="D83" s="60"/>
      <c r="E83" s="60"/>
      <c r="F83" s="75" t="s">
        <v>380</v>
      </c>
      <c r="G83" s="114"/>
      <c r="H83" s="205"/>
      <c r="I83" s="145" t="s">
        <v>335</v>
      </c>
      <c r="J83" s="201">
        <f>ROUNDUP(J82/10,0)</f>
        <v>6</v>
      </c>
      <c r="K83" s="106">
        <f>'Manufacturer list'!$G$52</f>
        <v>78.224999999999994</v>
      </c>
      <c r="L83" s="55">
        <f t="shared" si="0"/>
        <v>469.34999999999997</v>
      </c>
    </row>
    <row r="84" spans="1:12" s="38" customFormat="1" ht="16.5" thickBot="1" x14ac:dyDescent="0.3">
      <c r="A84" s="60"/>
      <c r="B84" s="60"/>
      <c r="C84" s="60"/>
      <c r="D84" s="60"/>
      <c r="E84" s="60"/>
      <c r="F84" s="75" t="s">
        <v>293</v>
      </c>
      <c r="G84" s="114" t="s">
        <v>79</v>
      </c>
      <c r="H84" s="205">
        <f>3.4*H79</f>
        <v>51</v>
      </c>
      <c r="I84" s="114" t="s">
        <v>511</v>
      </c>
      <c r="J84" s="201">
        <f>ROUNDUP(H84/1,0)</f>
        <v>51</v>
      </c>
      <c r="K84" s="106">
        <f>'Manufacturer list'!G112</f>
        <v>1.3</v>
      </c>
      <c r="L84" s="55">
        <f t="shared" si="0"/>
        <v>66.3</v>
      </c>
    </row>
    <row r="85" spans="1:12" s="38" customFormat="1" ht="16.5" thickBot="1" x14ac:dyDescent="0.3">
      <c r="A85" s="60"/>
      <c r="B85" s="60"/>
      <c r="C85" s="60"/>
      <c r="D85" s="60"/>
      <c r="E85" s="60"/>
      <c r="F85" s="75" t="s">
        <v>235</v>
      </c>
      <c r="G85" s="114" t="s">
        <v>77</v>
      </c>
      <c r="H85" s="205">
        <f>H84*1</f>
        <v>51</v>
      </c>
      <c r="I85" s="114" t="s">
        <v>77</v>
      </c>
      <c r="J85" s="201">
        <f>H85</f>
        <v>51</v>
      </c>
      <c r="K85" s="106">
        <f>'Manufacturer list'!G65</f>
        <v>78.844500000000011</v>
      </c>
      <c r="L85" s="55">
        <f t="shared" si="0"/>
        <v>4021.0695000000005</v>
      </c>
    </row>
    <row r="86" spans="1:12" s="38" customFormat="1" ht="16.5" thickBot="1" x14ac:dyDescent="0.3">
      <c r="A86" s="60"/>
      <c r="B86" s="60"/>
      <c r="C86" s="60"/>
      <c r="D86" s="60"/>
      <c r="E86" s="60"/>
      <c r="F86" s="75" t="s">
        <v>381</v>
      </c>
      <c r="G86" s="114" t="s">
        <v>294</v>
      </c>
      <c r="H86" s="205">
        <f>H79*0.25</f>
        <v>3.75</v>
      </c>
      <c r="I86" s="114" t="s">
        <v>357</v>
      </c>
      <c r="J86" s="201">
        <f>ROUNDUP(H86/0.5,0)</f>
        <v>8</v>
      </c>
      <c r="K86" s="106">
        <f>'Manufacturer list'!G8</f>
        <v>369.56850000000003</v>
      </c>
      <c r="L86" s="55">
        <f t="shared" si="0"/>
        <v>2956.5480000000002</v>
      </c>
    </row>
    <row r="87" spans="1:12" s="38" customFormat="1" ht="16.5" thickBot="1" x14ac:dyDescent="0.3">
      <c r="A87" s="60"/>
      <c r="B87" s="60"/>
      <c r="C87" s="60"/>
      <c r="D87" s="60"/>
      <c r="E87" s="60"/>
      <c r="F87" s="75" t="s">
        <v>383</v>
      </c>
      <c r="G87" s="114" t="s">
        <v>294</v>
      </c>
      <c r="H87" s="205">
        <f>H79*0.125</f>
        <v>1.875</v>
      </c>
      <c r="I87" s="223" t="s">
        <v>308</v>
      </c>
      <c r="J87" s="201">
        <f>ROUNDUP(H87/0.5,0)</f>
        <v>4</v>
      </c>
      <c r="K87" s="106">
        <f>'Manufacturer list'!G10</f>
        <v>60.910499999999999</v>
      </c>
      <c r="L87" s="55">
        <f t="shared" si="0"/>
        <v>243.642</v>
      </c>
    </row>
    <row r="88" spans="1:12" s="38" customFormat="1" ht="16.5" thickBot="1" x14ac:dyDescent="0.3">
      <c r="A88" s="60"/>
      <c r="B88" s="60"/>
      <c r="C88" s="60"/>
      <c r="D88" s="60"/>
      <c r="E88" s="60"/>
      <c r="F88" s="59" t="s">
        <v>290</v>
      </c>
      <c r="G88" s="90"/>
      <c r="H88" s="92"/>
      <c r="I88" s="201"/>
      <c r="J88" s="202">
        <v>0.1</v>
      </c>
      <c r="K88" s="106"/>
      <c r="L88" s="55">
        <f>SUM(L79:L87)*J88</f>
        <v>898.68270000000018</v>
      </c>
    </row>
    <row r="89" spans="1:12" ht="16.5" thickBot="1" x14ac:dyDescent="0.3">
      <c r="A89" s="53"/>
      <c r="B89" s="53"/>
      <c r="C89" s="53"/>
      <c r="D89" s="53"/>
      <c r="E89" s="53"/>
      <c r="F89" s="98"/>
      <c r="G89" s="479" t="s">
        <v>291</v>
      </c>
      <c r="H89" s="480"/>
      <c r="I89" s="203"/>
      <c r="J89" s="203"/>
      <c r="K89" s="204"/>
      <c r="L89" s="66">
        <f>SUM(L79:L88)</f>
        <v>9885.5097000000005</v>
      </c>
    </row>
    <row r="90" spans="1:12" ht="16.5" thickBot="1" x14ac:dyDescent="0.3">
      <c r="A90" s="194"/>
      <c r="B90" s="194"/>
      <c r="C90" s="194"/>
      <c r="D90" s="194"/>
      <c r="E90" s="194"/>
      <c r="F90" s="195"/>
      <c r="G90" s="196"/>
      <c r="H90" s="197"/>
      <c r="I90" s="198"/>
      <c r="J90" s="198"/>
      <c r="K90" s="199"/>
      <c r="L90" s="200"/>
    </row>
    <row r="91" spans="1:12" s="38" customFormat="1" ht="75" customHeight="1" thickBot="1" x14ac:dyDescent="0.3">
      <c r="A91" s="60"/>
      <c r="B91" s="60" t="s">
        <v>98</v>
      </c>
      <c r="C91" s="60" t="s">
        <v>95</v>
      </c>
      <c r="D91" s="60"/>
      <c r="E91" s="60"/>
      <c r="F91" s="75" t="s">
        <v>151</v>
      </c>
      <c r="G91" s="90" t="s">
        <v>79</v>
      </c>
      <c r="H91" s="92">
        <f>145/12</f>
        <v>12.083333333333334</v>
      </c>
      <c r="I91" s="201"/>
      <c r="J91" s="201"/>
      <c r="K91" s="106"/>
      <c r="L91" s="55"/>
    </row>
    <row r="92" spans="1:12" s="38" customFormat="1" ht="16.5" thickBot="1" x14ac:dyDescent="0.3">
      <c r="A92" s="60"/>
      <c r="B92" s="60"/>
      <c r="C92" s="60"/>
      <c r="D92" s="60"/>
      <c r="E92" s="60"/>
      <c r="F92" s="75" t="s">
        <v>384</v>
      </c>
      <c r="G92" s="53" t="s">
        <v>77</v>
      </c>
      <c r="H92" s="205">
        <f>H91/0.5</f>
        <v>24.166666666666668</v>
      </c>
      <c r="I92" s="201" t="s">
        <v>77</v>
      </c>
      <c r="J92" s="201">
        <f>H92</f>
        <v>24.166666666666668</v>
      </c>
      <c r="K92" s="106">
        <f>'Manufacturer list'!$G$35</f>
        <v>1.1655000000000002</v>
      </c>
      <c r="L92" s="55">
        <f t="shared" ref="L92:L93" si="1">J92*K92</f>
        <v>28.166250000000005</v>
      </c>
    </row>
    <row r="93" spans="1:12" s="38" customFormat="1" ht="16.5" thickBot="1" x14ac:dyDescent="0.3">
      <c r="A93" s="60"/>
      <c r="B93" s="60"/>
      <c r="C93" s="60"/>
      <c r="D93" s="60"/>
      <c r="E93" s="60"/>
      <c r="F93" s="75" t="s">
        <v>385</v>
      </c>
      <c r="G93" s="53" t="s">
        <v>294</v>
      </c>
      <c r="H93" s="225">
        <f>H91*0.083*0.083</f>
        <v>8.3242083333333342E-2</v>
      </c>
      <c r="I93" s="201" t="s">
        <v>351</v>
      </c>
      <c r="J93" s="201">
        <v>1</v>
      </c>
      <c r="K93" s="106">
        <f>'Manufacturer list'!$G$23</f>
        <v>87.654000000000011</v>
      </c>
      <c r="L93" s="55">
        <f t="shared" si="1"/>
        <v>87.654000000000011</v>
      </c>
    </row>
    <row r="94" spans="1:12" s="38" customFormat="1" ht="16.5" thickBot="1" x14ac:dyDescent="0.3">
      <c r="A94" s="60"/>
      <c r="B94" s="60"/>
      <c r="C94" s="60"/>
      <c r="D94" s="60"/>
      <c r="E94" s="60"/>
      <c r="F94" s="59" t="s">
        <v>290</v>
      </c>
      <c r="G94" s="90"/>
      <c r="H94" s="92"/>
      <c r="I94" s="201"/>
      <c r="J94" s="202">
        <v>0.1</v>
      </c>
      <c r="K94" s="106"/>
      <c r="L94" s="55">
        <f>SUM(L91:L93)*J94</f>
        <v>11.582025000000002</v>
      </c>
    </row>
    <row r="95" spans="1:12" ht="16.5" thickBot="1" x14ac:dyDescent="0.3">
      <c r="A95" s="53"/>
      <c r="B95" s="53"/>
      <c r="C95" s="53"/>
      <c r="D95" s="53"/>
      <c r="E95" s="53"/>
      <c r="F95" s="98"/>
      <c r="G95" s="479" t="s">
        <v>291</v>
      </c>
      <c r="H95" s="480"/>
      <c r="I95" s="203"/>
      <c r="J95" s="203"/>
      <c r="K95" s="204"/>
      <c r="L95" s="66">
        <f>SUM(L91:L94)</f>
        <v>127.40227500000002</v>
      </c>
    </row>
    <row r="96" spans="1:12" ht="21" thickBot="1" x14ac:dyDescent="0.3">
      <c r="A96" s="96"/>
      <c r="B96" s="70"/>
      <c r="C96" s="70"/>
      <c r="D96" s="70"/>
      <c r="E96" s="70"/>
      <c r="F96" s="71" t="s">
        <v>28</v>
      </c>
      <c r="G96" s="70"/>
      <c r="H96" s="70"/>
      <c r="I96" s="70"/>
      <c r="J96" s="70"/>
      <c r="K96" s="72"/>
      <c r="L96" s="73"/>
    </row>
    <row r="97" spans="1:13" s="38" customFormat="1" ht="69" customHeight="1" thickBot="1" x14ac:dyDescent="0.3">
      <c r="A97" s="60"/>
      <c r="B97" s="60" t="s">
        <v>87</v>
      </c>
      <c r="C97" s="60" t="s">
        <v>85</v>
      </c>
      <c r="D97" s="60"/>
      <c r="E97" s="60"/>
      <c r="F97" s="75" t="s">
        <v>147</v>
      </c>
      <c r="G97" s="90" t="s">
        <v>88</v>
      </c>
      <c r="H97" s="92">
        <v>7</v>
      </c>
      <c r="I97" s="201"/>
      <c r="J97" s="201"/>
      <c r="K97" s="106"/>
      <c r="L97" s="55"/>
    </row>
    <row r="98" spans="1:13" s="38" customFormat="1" ht="16.5" thickBot="1" x14ac:dyDescent="0.3">
      <c r="A98" s="60"/>
      <c r="B98" s="60"/>
      <c r="C98" s="60"/>
      <c r="D98" s="60"/>
      <c r="E98" s="60"/>
      <c r="F98" s="75" t="s">
        <v>332</v>
      </c>
      <c r="G98" s="114" t="s">
        <v>77</v>
      </c>
      <c r="H98" s="210">
        <f>ROUNDUP((J100/10)*2,0)</f>
        <v>12</v>
      </c>
      <c r="I98" s="201" t="s">
        <v>77</v>
      </c>
      <c r="J98" s="201">
        <f>H98</f>
        <v>12</v>
      </c>
      <c r="K98" s="106">
        <f>'Manufacturer list'!$G$58</f>
        <v>1.575</v>
      </c>
      <c r="L98" s="55">
        <f>J98*K98</f>
        <v>18.899999999999999</v>
      </c>
    </row>
    <row r="99" spans="1:13" s="38" customFormat="1" ht="16.5" thickBot="1" x14ac:dyDescent="0.3">
      <c r="A99" s="60"/>
      <c r="B99" s="60"/>
      <c r="C99" s="60"/>
      <c r="D99" s="60"/>
      <c r="E99" s="60"/>
      <c r="F99" s="75" t="s">
        <v>229</v>
      </c>
      <c r="G99" s="114" t="s">
        <v>77</v>
      </c>
      <c r="H99" s="210">
        <f>ROUNDUP((J100/10)*2,0)</f>
        <v>12</v>
      </c>
      <c r="I99" s="168" t="s">
        <v>330</v>
      </c>
      <c r="J99" s="201">
        <v>1</v>
      </c>
      <c r="K99" s="106">
        <f>'Manufacturer list'!$G$59</f>
        <v>82.341000000000008</v>
      </c>
      <c r="L99" s="55">
        <f t="shared" ref="L99:L101" si="2">J99*K99</f>
        <v>82.341000000000008</v>
      </c>
    </row>
    <row r="100" spans="1:13" s="38" customFormat="1" ht="16.5" thickBot="1" x14ac:dyDescent="0.3">
      <c r="A100" s="60"/>
      <c r="B100" s="60"/>
      <c r="C100" s="60"/>
      <c r="D100" s="60"/>
      <c r="E100" s="60"/>
      <c r="F100" s="75" t="s">
        <v>295</v>
      </c>
      <c r="G100" s="114" t="s">
        <v>88</v>
      </c>
      <c r="H100" s="210">
        <f>H97</f>
        <v>7</v>
      </c>
      <c r="I100" s="201" t="s">
        <v>77</v>
      </c>
      <c r="J100" s="201">
        <f>ROUNDUP(H100/0.12,0)</f>
        <v>59</v>
      </c>
      <c r="K100" s="106">
        <f>'Manufacturer list'!$G$113</f>
        <v>1.4175</v>
      </c>
      <c r="L100" s="55">
        <f t="shared" si="2"/>
        <v>83.632499999999993</v>
      </c>
    </row>
    <row r="101" spans="1:13" s="38" customFormat="1" ht="16.5" thickBot="1" x14ac:dyDescent="0.3">
      <c r="A101" s="60"/>
      <c r="B101" s="60"/>
      <c r="C101" s="60"/>
      <c r="D101" s="60"/>
      <c r="E101" s="60"/>
      <c r="F101" s="75" t="s">
        <v>386</v>
      </c>
      <c r="G101" s="114"/>
      <c r="H101" s="210"/>
      <c r="I101" s="219" t="s">
        <v>512</v>
      </c>
      <c r="J101" s="201">
        <f>ROUNDUP(J100/39,0)</f>
        <v>2</v>
      </c>
      <c r="K101" s="106">
        <f>'Manufacturer list'!$G$45</f>
        <v>14.7</v>
      </c>
      <c r="L101" s="55">
        <f t="shared" si="2"/>
        <v>29.4</v>
      </c>
    </row>
    <row r="102" spans="1:13" s="38" customFormat="1" ht="16.5" thickBot="1" x14ac:dyDescent="0.3">
      <c r="A102" s="60"/>
      <c r="B102" s="60"/>
      <c r="C102" s="60"/>
      <c r="D102" s="60"/>
      <c r="E102" s="60"/>
      <c r="F102" s="59" t="s">
        <v>290</v>
      </c>
      <c r="G102" s="90"/>
      <c r="H102" s="92"/>
      <c r="I102" s="201"/>
      <c r="J102" s="202">
        <v>0.2</v>
      </c>
      <c r="K102" s="106"/>
      <c r="L102" s="55">
        <f>SUM(L97:L101)*J102</f>
        <v>42.854700000000008</v>
      </c>
    </row>
    <row r="103" spans="1:13" ht="16.5" thickBot="1" x14ac:dyDescent="0.3">
      <c r="A103" s="53"/>
      <c r="B103" s="53"/>
      <c r="C103" s="53"/>
      <c r="D103" s="53"/>
      <c r="E103" s="53"/>
      <c r="F103" s="98"/>
      <c r="G103" s="479" t="s">
        <v>291</v>
      </c>
      <c r="H103" s="480"/>
      <c r="I103" s="203"/>
      <c r="J103" s="203"/>
      <c r="K103" s="204"/>
      <c r="L103" s="66">
        <f>SUM(L97:L102)+200</f>
        <v>457.12819999999999</v>
      </c>
    </row>
    <row r="104" spans="1:13" ht="16.5" thickBot="1" x14ac:dyDescent="0.3">
      <c r="A104" s="194"/>
      <c r="B104" s="194"/>
      <c r="C104" s="194"/>
      <c r="D104" s="194"/>
      <c r="E104" s="194"/>
      <c r="F104" s="195"/>
      <c r="G104" s="196"/>
      <c r="H104" s="197"/>
      <c r="I104" s="198"/>
      <c r="J104" s="198"/>
      <c r="K104" s="199"/>
      <c r="L104" s="200"/>
    </row>
    <row r="105" spans="1:13" s="38" customFormat="1" ht="53.25" customHeight="1" thickBot="1" x14ac:dyDescent="0.3">
      <c r="A105" s="60"/>
      <c r="B105" s="60" t="s">
        <v>91</v>
      </c>
      <c r="C105" s="60" t="s">
        <v>92</v>
      </c>
      <c r="D105" s="60"/>
      <c r="E105" s="60"/>
      <c r="F105" s="75" t="s">
        <v>148</v>
      </c>
      <c r="G105" s="90" t="s">
        <v>79</v>
      </c>
      <c r="H105" s="92">
        <v>198</v>
      </c>
      <c r="I105" s="90"/>
      <c r="J105" s="206"/>
      <c r="K105" s="106"/>
      <c r="L105" s="55"/>
    </row>
    <row r="106" spans="1:13" s="38" customFormat="1" ht="16.5" thickBot="1" x14ac:dyDescent="0.3">
      <c r="A106" s="60"/>
      <c r="B106" s="60"/>
      <c r="C106" s="60"/>
      <c r="D106" s="60"/>
      <c r="E106" s="60"/>
      <c r="F106" s="75" t="s">
        <v>386</v>
      </c>
      <c r="G106" s="90" t="s">
        <v>79</v>
      </c>
      <c r="H106" s="207">
        <f>H105</f>
        <v>198</v>
      </c>
      <c r="I106" s="219" t="s">
        <v>513</v>
      </c>
      <c r="J106" s="201">
        <f>ROUNDUP(H106/100,0)</f>
        <v>2</v>
      </c>
      <c r="K106" s="106">
        <f>'Manufacturer list'!$G$45</f>
        <v>14.7</v>
      </c>
      <c r="L106" s="55">
        <f t="shared" ref="L106:L107" si="3">J106*K106</f>
        <v>29.4</v>
      </c>
    </row>
    <row r="107" spans="1:13" s="38" customFormat="1" ht="16.5" thickBot="1" x14ac:dyDescent="0.3">
      <c r="A107" s="60"/>
      <c r="B107" s="60"/>
      <c r="C107" s="60"/>
      <c r="D107" s="60"/>
      <c r="E107" s="60"/>
      <c r="F107" s="75" t="s">
        <v>514</v>
      </c>
      <c r="G107" s="90" t="s">
        <v>77</v>
      </c>
      <c r="H107" s="207">
        <v>1</v>
      </c>
      <c r="I107" s="418" t="s">
        <v>77</v>
      </c>
      <c r="J107" s="201">
        <f>H107</f>
        <v>1</v>
      </c>
      <c r="K107" s="106">
        <v>200</v>
      </c>
      <c r="L107" s="55">
        <f t="shared" si="3"/>
        <v>200</v>
      </c>
      <c r="M107" s="37" t="s">
        <v>515</v>
      </c>
    </row>
    <row r="108" spans="1:13" s="38" customFormat="1" ht="16.5" thickBot="1" x14ac:dyDescent="0.3">
      <c r="A108" s="60"/>
      <c r="B108" s="60"/>
      <c r="C108" s="60"/>
      <c r="D108" s="60"/>
      <c r="E108" s="60"/>
      <c r="F108" s="59" t="s">
        <v>290</v>
      </c>
      <c r="G108" s="90"/>
      <c r="H108" s="92"/>
      <c r="I108" s="201"/>
      <c r="J108" s="202">
        <v>0.2</v>
      </c>
      <c r="K108" s="106"/>
      <c r="L108" s="55">
        <f>SUM(L105:L107)*J108</f>
        <v>45.88</v>
      </c>
    </row>
    <row r="109" spans="1:13" ht="16.5" thickBot="1" x14ac:dyDescent="0.3">
      <c r="A109" s="53"/>
      <c r="B109" s="53"/>
      <c r="C109" s="53"/>
      <c r="D109" s="53"/>
      <c r="E109" s="53"/>
      <c r="F109" s="98"/>
      <c r="G109" s="479" t="s">
        <v>291</v>
      </c>
      <c r="H109" s="480"/>
      <c r="I109" s="203"/>
      <c r="J109" s="203"/>
      <c r="K109" s="204"/>
      <c r="L109" s="66">
        <f>SUM(L105:L108)+250</f>
        <v>525.28</v>
      </c>
    </row>
    <row r="110" spans="1:13" ht="16.5" thickBot="1" x14ac:dyDescent="0.3">
      <c r="A110" s="194"/>
      <c r="B110" s="194"/>
      <c r="C110" s="194"/>
      <c r="D110" s="194"/>
      <c r="E110" s="194"/>
      <c r="F110" s="195"/>
      <c r="G110" s="196"/>
      <c r="H110" s="197"/>
      <c r="I110" s="198"/>
      <c r="J110" s="198"/>
      <c r="K110" s="199"/>
      <c r="L110" s="200"/>
    </row>
    <row r="111" spans="1:13" s="38" customFormat="1" ht="48" thickBot="1" x14ac:dyDescent="0.3">
      <c r="A111" s="60"/>
      <c r="B111" s="60" t="s">
        <v>93</v>
      </c>
      <c r="C111" s="60" t="s">
        <v>92</v>
      </c>
      <c r="D111" s="60"/>
      <c r="E111" s="60"/>
      <c r="F111" s="134" t="s">
        <v>149</v>
      </c>
      <c r="G111" s="132" t="s">
        <v>88</v>
      </c>
      <c r="H111" s="133">
        <v>25</v>
      </c>
      <c r="I111" s="90"/>
      <c r="J111" s="206"/>
      <c r="K111" s="106"/>
      <c r="L111" s="55"/>
    </row>
    <row r="112" spans="1:13" s="38" customFormat="1" ht="16.5" thickBot="1" x14ac:dyDescent="0.3">
      <c r="A112" s="60"/>
      <c r="B112" s="60"/>
      <c r="C112" s="60"/>
      <c r="D112" s="60"/>
      <c r="E112" s="60"/>
      <c r="F112" s="75" t="s">
        <v>386</v>
      </c>
      <c r="G112" s="90" t="s">
        <v>88</v>
      </c>
      <c r="H112" s="207">
        <f>H111</f>
        <v>25</v>
      </c>
      <c r="I112" s="219" t="s">
        <v>513</v>
      </c>
      <c r="J112" s="201">
        <f>ROUNDUP(H112/20,0)</f>
        <v>2</v>
      </c>
      <c r="K112" s="106">
        <f>'Manufacturer list'!$G$45</f>
        <v>14.7</v>
      </c>
      <c r="L112" s="55">
        <f t="shared" ref="L112:L113" si="4">J112*K112</f>
        <v>29.4</v>
      </c>
    </row>
    <row r="113" spans="1:13" s="38" customFormat="1" ht="16.5" thickBot="1" x14ac:dyDescent="0.3">
      <c r="A113" s="60"/>
      <c r="B113" s="60"/>
      <c r="C113" s="60"/>
      <c r="D113" s="60"/>
      <c r="E113" s="60"/>
      <c r="F113" s="75" t="s">
        <v>514</v>
      </c>
      <c r="G113" s="90" t="s">
        <v>77</v>
      </c>
      <c r="H113" s="207">
        <v>1</v>
      </c>
      <c r="I113" s="418" t="s">
        <v>77</v>
      </c>
      <c r="J113" s="201">
        <f>H113</f>
        <v>1</v>
      </c>
      <c r="K113" s="106">
        <v>200</v>
      </c>
      <c r="L113" s="55">
        <f t="shared" si="4"/>
        <v>200</v>
      </c>
      <c r="M113" s="37" t="s">
        <v>515</v>
      </c>
    </row>
    <row r="114" spans="1:13" s="38" customFormat="1" ht="16.5" thickBot="1" x14ac:dyDescent="0.3">
      <c r="A114" s="60"/>
      <c r="B114" s="60"/>
      <c r="C114" s="60"/>
      <c r="D114" s="60"/>
      <c r="E114" s="60"/>
      <c r="F114" s="59" t="s">
        <v>290</v>
      </c>
      <c r="G114" s="90"/>
      <c r="H114" s="92"/>
      <c r="I114" s="201"/>
      <c r="J114" s="202">
        <v>0.2</v>
      </c>
      <c r="K114" s="106"/>
      <c r="L114" s="55">
        <f>SUM(L111:L113)*J114</f>
        <v>45.88</v>
      </c>
    </row>
    <row r="115" spans="1:13" ht="16.5" thickBot="1" x14ac:dyDescent="0.3">
      <c r="A115" s="53"/>
      <c r="B115" s="53"/>
      <c r="C115" s="53"/>
      <c r="D115" s="53"/>
      <c r="E115" s="53"/>
      <c r="F115" s="98"/>
      <c r="G115" s="479" t="s">
        <v>291</v>
      </c>
      <c r="H115" s="480"/>
      <c r="I115" s="203"/>
      <c r="J115" s="203"/>
      <c r="K115" s="204"/>
      <c r="L115" s="66">
        <f>SUM(L111:L114)+230</f>
        <v>505.28000000000003</v>
      </c>
    </row>
    <row r="116" spans="1:13" ht="16.5" thickBot="1" x14ac:dyDescent="0.3">
      <c r="A116" s="194"/>
      <c r="B116" s="194"/>
      <c r="C116" s="194"/>
      <c r="D116" s="194"/>
      <c r="E116" s="194"/>
      <c r="F116" s="195"/>
      <c r="G116" s="196"/>
      <c r="H116" s="197"/>
      <c r="I116" s="198"/>
      <c r="J116" s="198"/>
      <c r="K116" s="199"/>
      <c r="L116" s="200"/>
    </row>
    <row r="117" spans="1:13" s="38" customFormat="1" ht="165" customHeight="1" thickBot="1" x14ac:dyDescent="0.3">
      <c r="A117" s="60"/>
      <c r="B117" s="60" t="s">
        <v>94</v>
      </c>
      <c r="C117" s="60" t="s">
        <v>95</v>
      </c>
      <c r="D117" s="60"/>
      <c r="E117" s="60"/>
      <c r="F117" s="128" t="s">
        <v>418</v>
      </c>
      <c r="G117" s="90" t="s">
        <v>77</v>
      </c>
      <c r="H117" s="92">
        <v>7</v>
      </c>
      <c r="I117" s="90"/>
      <c r="J117" s="208"/>
      <c r="K117" s="106"/>
      <c r="L117" s="55"/>
    </row>
    <row r="118" spans="1:13" s="38" customFormat="1" ht="16.5" thickBot="1" x14ac:dyDescent="0.3">
      <c r="A118" s="60"/>
      <c r="B118" s="60"/>
      <c r="C118" s="60"/>
      <c r="D118" s="60"/>
      <c r="E118" s="60"/>
      <c r="F118" s="75" t="s">
        <v>387</v>
      </c>
      <c r="G118" s="90" t="s">
        <v>79</v>
      </c>
      <c r="H118" s="207">
        <f>H117*5</f>
        <v>35</v>
      </c>
      <c r="I118" s="90" t="s">
        <v>492</v>
      </c>
      <c r="J118" s="201">
        <f>ROUNDUP(H118/8,0)</f>
        <v>5</v>
      </c>
      <c r="K118" s="106">
        <f>'Manufacturer list'!G114</f>
        <v>5.2290000000000001</v>
      </c>
      <c r="L118" s="55">
        <f>J118*K118</f>
        <v>26.145</v>
      </c>
    </row>
    <row r="119" spans="1:13" s="38" customFormat="1" ht="16.5" thickBot="1" x14ac:dyDescent="0.3">
      <c r="A119" s="60"/>
      <c r="B119" s="60"/>
      <c r="C119" s="60"/>
      <c r="D119" s="60"/>
      <c r="E119" s="60"/>
      <c r="F119" s="75" t="s">
        <v>388</v>
      </c>
      <c r="G119" s="90" t="s">
        <v>79</v>
      </c>
      <c r="H119" s="207">
        <f>H117*3*3.5</f>
        <v>73.5</v>
      </c>
      <c r="I119" s="90" t="s">
        <v>492</v>
      </c>
      <c r="J119" s="201">
        <f>ROUNDUP(H119/8,0)</f>
        <v>10</v>
      </c>
      <c r="K119" s="106">
        <f>'Manufacturer list'!G114</f>
        <v>5.2290000000000001</v>
      </c>
      <c r="L119" s="55">
        <f t="shared" ref="L119:L127" si="5">J119*K119</f>
        <v>52.29</v>
      </c>
    </row>
    <row r="120" spans="1:13" s="38" customFormat="1" ht="16.5" thickBot="1" x14ac:dyDescent="0.3">
      <c r="A120" s="60"/>
      <c r="B120" s="60"/>
      <c r="C120" s="60"/>
      <c r="D120" s="60"/>
      <c r="E120" s="60"/>
      <c r="F120" s="75" t="s">
        <v>389</v>
      </c>
      <c r="G120" s="90" t="s">
        <v>77</v>
      </c>
      <c r="H120" s="207">
        <f>H117</f>
        <v>7</v>
      </c>
      <c r="I120" s="90" t="s">
        <v>77</v>
      </c>
      <c r="J120" s="206">
        <f>H120</f>
        <v>7</v>
      </c>
      <c r="K120" s="106">
        <f>'Manufacturer list'!G41</f>
        <v>1.575</v>
      </c>
      <c r="L120" s="55">
        <f t="shared" si="5"/>
        <v>11.025</v>
      </c>
    </row>
    <row r="121" spans="1:13" s="38" customFormat="1" ht="16.5" thickBot="1" x14ac:dyDescent="0.3">
      <c r="A121" s="60"/>
      <c r="B121" s="60"/>
      <c r="C121" s="60"/>
      <c r="D121" s="60"/>
      <c r="E121" s="60"/>
      <c r="F121" s="75" t="s">
        <v>296</v>
      </c>
      <c r="G121" s="114" t="s">
        <v>77</v>
      </c>
      <c r="H121" s="207">
        <f>H117*2</f>
        <v>14</v>
      </c>
      <c r="I121" s="90" t="s">
        <v>77</v>
      </c>
      <c r="J121" s="206">
        <f>H121</f>
        <v>14</v>
      </c>
      <c r="K121" s="106">
        <f>'Manufacturer list'!G32</f>
        <v>2.1</v>
      </c>
      <c r="L121" s="55">
        <f t="shared" si="5"/>
        <v>29.400000000000002</v>
      </c>
    </row>
    <row r="122" spans="1:13" s="38" customFormat="1" ht="16.5" thickBot="1" x14ac:dyDescent="0.3">
      <c r="A122" s="60"/>
      <c r="B122" s="60"/>
      <c r="C122" s="60"/>
      <c r="D122" s="60"/>
      <c r="E122" s="60"/>
      <c r="F122" s="75" t="s">
        <v>425</v>
      </c>
      <c r="G122" s="114" t="s">
        <v>77</v>
      </c>
      <c r="H122" s="207">
        <f>H117*2</f>
        <v>14</v>
      </c>
      <c r="I122" s="90" t="s">
        <v>77</v>
      </c>
      <c r="J122" s="206">
        <f>H122</f>
        <v>14</v>
      </c>
      <c r="K122" s="106">
        <f>'Manufacturer list'!G116</f>
        <v>37.747500000000002</v>
      </c>
      <c r="L122" s="55">
        <f t="shared" si="5"/>
        <v>528.46500000000003</v>
      </c>
    </row>
    <row r="123" spans="1:13" s="38" customFormat="1" ht="16.5" thickBot="1" x14ac:dyDescent="0.3">
      <c r="A123" s="60"/>
      <c r="B123" s="60"/>
      <c r="C123" s="60"/>
      <c r="D123" s="60"/>
      <c r="E123" s="60"/>
      <c r="F123" s="75" t="s">
        <v>297</v>
      </c>
      <c r="G123" s="114" t="s">
        <v>77</v>
      </c>
      <c r="H123" s="207">
        <f>H117</f>
        <v>7</v>
      </c>
      <c r="I123" s="90" t="s">
        <v>77</v>
      </c>
      <c r="J123" s="206">
        <f>H123</f>
        <v>7</v>
      </c>
      <c r="K123" s="106">
        <f>'Manufacturer list'!G117</f>
        <v>7.35</v>
      </c>
      <c r="L123" s="55">
        <f t="shared" si="5"/>
        <v>51.449999999999996</v>
      </c>
    </row>
    <row r="124" spans="1:13" s="38" customFormat="1" ht="16.5" thickBot="1" x14ac:dyDescent="0.3">
      <c r="A124" s="60"/>
      <c r="B124" s="60"/>
      <c r="C124" s="60"/>
      <c r="D124" s="60"/>
      <c r="E124" s="60"/>
      <c r="F124" s="75" t="s">
        <v>298</v>
      </c>
      <c r="G124" s="114" t="s">
        <v>77</v>
      </c>
      <c r="H124" s="207">
        <f>H117*2</f>
        <v>14</v>
      </c>
      <c r="I124" s="145" t="s">
        <v>336</v>
      </c>
      <c r="J124" s="201">
        <f>ROUNDUP(H124/20,0)</f>
        <v>1</v>
      </c>
      <c r="K124" s="106">
        <f>'Manufacturer list'!G48</f>
        <v>63.997500000000002</v>
      </c>
      <c r="L124" s="55">
        <f t="shared" si="5"/>
        <v>63.997500000000002</v>
      </c>
    </row>
    <row r="125" spans="1:13" s="38" customFormat="1" ht="16.5" thickBot="1" x14ac:dyDescent="0.3">
      <c r="A125" s="60"/>
      <c r="B125" s="60"/>
      <c r="C125" s="60"/>
      <c r="D125" s="60"/>
      <c r="E125" s="60"/>
      <c r="F125" s="75" t="s">
        <v>391</v>
      </c>
      <c r="G125" s="114" t="s">
        <v>77</v>
      </c>
      <c r="H125" s="207">
        <f>H117*4</f>
        <v>28</v>
      </c>
      <c r="I125" s="90" t="s">
        <v>77</v>
      </c>
      <c r="J125" s="206">
        <f>H125</f>
        <v>28</v>
      </c>
      <c r="K125" s="106">
        <f>'Manufacturer list'!G63</f>
        <v>4.2</v>
      </c>
      <c r="L125" s="55">
        <f t="shared" si="5"/>
        <v>117.60000000000001</v>
      </c>
    </row>
    <row r="126" spans="1:13" s="38" customFormat="1" ht="16.5" thickBot="1" x14ac:dyDescent="0.3">
      <c r="A126" s="60"/>
      <c r="B126" s="60"/>
      <c r="C126" s="60"/>
      <c r="D126" s="60"/>
      <c r="E126" s="60"/>
      <c r="F126" s="75" t="s">
        <v>392</v>
      </c>
      <c r="G126" s="114" t="s">
        <v>77</v>
      </c>
      <c r="H126" s="207">
        <f>H117*2</f>
        <v>14</v>
      </c>
      <c r="I126" s="90" t="s">
        <v>353</v>
      </c>
      <c r="J126" s="206">
        <v>1</v>
      </c>
      <c r="K126" s="106">
        <f>'Manufacturer list'!G15</f>
        <v>96</v>
      </c>
      <c r="L126" s="55">
        <f t="shared" si="5"/>
        <v>96</v>
      </c>
    </row>
    <row r="127" spans="1:13" s="38" customFormat="1" ht="16.5" thickBot="1" x14ac:dyDescent="0.3">
      <c r="A127" s="60"/>
      <c r="B127" s="60"/>
      <c r="C127" s="60"/>
      <c r="D127" s="60"/>
      <c r="E127" s="60"/>
      <c r="F127" s="75" t="s">
        <v>299</v>
      </c>
      <c r="G127" s="114" t="s">
        <v>77</v>
      </c>
      <c r="H127" s="207">
        <f>H117</f>
        <v>7</v>
      </c>
      <c r="I127" s="90" t="s">
        <v>77</v>
      </c>
      <c r="J127" s="206">
        <f>H127</f>
        <v>7</v>
      </c>
      <c r="K127" s="402">
        <v>1150</v>
      </c>
      <c r="L127" s="55">
        <f t="shared" si="5"/>
        <v>8050</v>
      </c>
    </row>
    <row r="128" spans="1:13" s="38" customFormat="1" ht="16.5" thickBot="1" x14ac:dyDescent="0.3">
      <c r="A128" s="60"/>
      <c r="B128" s="60"/>
      <c r="C128" s="60"/>
      <c r="D128" s="60"/>
      <c r="E128" s="60"/>
      <c r="F128" s="59" t="s">
        <v>290</v>
      </c>
      <c r="G128" s="90"/>
      <c r="H128" s="92"/>
      <c r="I128" s="201"/>
      <c r="J128" s="202">
        <v>0.1</v>
      </c>
      <c r="K128" s="106"/>
      <c r="L128" s="55">
        <f>SUM(L117:L127)*J128</f>
        <v>902.63724999999999</v>
      </c>
    </row>
    <row r="129" spans="1:12" ht="16.5" thickBot="1" x14ac:dyDescent="0.3">
      <c r="A129" s="53"/>
      <c r="B129" s="53"/>
      <c r="C129" s="53"/>
      <c r="D129" s="53"/>
      <c r="E129" s="53"/>
      <c r="F129" s="98"/>
      <c r="G129" s="479" t="s">
        <v>291</v>
      </c>
      <c r="H129" s="480"/>
      <c r="I129" s="203"/>
      <c r="J129" s="203"/>
      <c r="K129" s="204"/>
      <c r="L129" s="66">
        <f>SUM(L117:L128)+250</f>
        <v>10179.009749999999</v>
      </c>
    </row>
    <row r="130" spans="1:12" ht="16.5" thickBot="1" x14ac:dyDescent="0.3">
      <c r="A130" s="194"/>
      <c r="B130" s="194"/>
      <c r="C130" s="194"/>
      <c r="D130" s="194"/>
      <c r="E130" s="194"/>
      <c r="F130" s="195"/>
      <c r="G130" s="196"/>
      <c r="H130" s="197"/>
      <c r="I130" s="198"/>
      <c r="J130" s="198"/>
      <c r="K130" s="199"/>
      <c r="L130" s="200"/>
    </row>
    <row r="131" spans="1:12" s="38" customFormat="1" ht="105" customHeight="1" thickBot="1" x14ac:dyDescent="0.3">
      <c r="A131" s="60"/>
      <c r="B131" s="60" t="s">
        <v>96</v>
      </c>
      <c r="C131" s="60" t="s">
        <v>95</v>
      </c>
      <c r="D131" s="60"/>
      <c r="E131" s="60"/>
      <c r="F131" s="75" t="s">
        <v>150</v>
      </c>
      <c r="G131" s="90" t="s">
        <v>88</v>
      </c>
      <c r="H131" s="92">
        <v>2.37</v>
      </c>
      <c r="I131" s="90"/>
      <c r="J131" s="206"/>
      <c r="K131" s="106"/>
      <c r="L131" s="55"/>
    </row>
    <row r="132" spans="1:12" s="38" customFormat="1" ht="16.5" thickBot="1" x14ac:dyDescent="0.3">
      <c r="A132" s="60"/>
      <c r="B132" s="60"/>
      <c r="C132" s="60"/>
      <c r="D132" s="60"/>
      <c r="E132" s="60"/>
      <c r="F132" s="75" t="s">
        <v>393</v>
      </c>
      <c r="G132" s="90" t="s">
        <v>294</v>
      </c>
      <c r="H132" s="207">
        <f>H131*0.33</f>
        <v>0.78210000000000002</v>
      </c>
      <c r="I132" s="145" t="s">
        <v>348</v>
      </c>
      <c r="J132" s="201">
        <f>ROUNDUP(H132/0.5,0)</f>
        <v>2</v>
      </c>
      <c r="K132" s="106">
        <f>'Manufacturer list'!$G$27</f>
        <v>339.34949999999998</v>
      </c>
      <c r="L132" s="55">
        <f>J132*K132</f>
        <v>678.69899999999996</v>
      </c>
    </row>
    <row r="133" spans="1:12" s="38" customFormat="1" ht="16.5" thickBot="1" x14ac:dyDescent="0.3">
      <c r="A133" s="60"/>
      <c r="B133" s="60"/>
      <c r="C133" s="60"/>
      <c r="D133" s="60"/>
      <c r="E133" s="60"/>
      <c r="F133" s="75" t="s">
        <v>394</v>
      </c>
      <c r="G133" s="114" t="s">
        <v>77</v>
      </c>
      <c r="H133" s="207">
        <f>H131/(0.5*0.5)</f>
        <v>9.48</v>
      </c>
      <c r="I133" s="90" t="s">
        <v>324</v>
      </c>
      <c r="J133" s="206">
        <v>1</v>
      </c>
      <c r="K133" s="106">
        <f>'Manufacturer list'!$G$118</f>
        <v>79.106999999999999</v>
      </c>
      <c r="L133" s="55">
        <f t="shared" ref="L133:L135" si="6">J133*K133</f>
        <v>79.106999999999999</v>
      </c>
    </row>
    <row r="134" spans="1:12" s="38" customFormat="1" ht="16.5" thickBot="1" x14ac:dyDescent="0.3">
      <c r="A134" s="60"/>
      <c r="B134" s="60"/>
      <c r="C134" s="60"/>
      <c r="D134" s="60"/>
      <c r="E134" s="60"/>
      <c r="F134" s="75" t="s">
        <v>380</v>
      </c>
      <c r="G134" s="114"/>
      <c r="H134" s="205"/>
      <c r="I134" s="145" t="s">
        <v>335</v>
      </c>
      <c r="J134" s="201">
        <f>ROUNDUP(J133/10,0)</f>
        <v>1</v>
      </c>
      <c r="K134" s="106">
        <f>'Manufacturer list'!$G$52</f>
        <v>78.224999999999994</v>
      </c>
      <c r="L134" s="55">
        <f t="shared" si="6"/>
        <v>78.224999999999994</v>
      </c>
    </row>
    <row r="135" spans="1:12" s="38" customFormat="1" ht="16.5" thickBot="1" x14ac:dyDescent="0.3">
      <c r="A135" s="60"/>
      <c r="B135" s="60"/>
      <c r="C135" s="60"/>
      <c r="D135" s="60"/>
      <c r="E135" s="60"/>
      <c r="F135" s="75" t="s">
        <v>386</v>
      </c>
      <c r="G135" s="114" t="s">
        <v>88</v>
      </c>
      <c r="H135" s="207">
        <f>H131</f>
        <v>2.37</v>
      </c>
      <c r="I135" s="219" t="s">
        <v>339</v>
      </c>
      <c r="J135" s="206">
        <v>1</v>
      </c>
      <c r="K135" s="106">
        <f>'Manufacturer list'!$G$45</f>
        <v>14.7</v>
      </c>
      <c r="L135" s="55">
        <f t="shared" si="6"/>
        <v>14.7</v>
      </c>
    </row>
    <row r="136" spans="1:12" s="38" customFormat="1" ht="16.5" thickBot="1" x14ac:dyDescent="0.3">
      <c r="A136" s="60"/>
      <c r="B136" s="60"/>
      <c r="C136" s="60"/>
      <c r="D136" s="60"/>
      <c r="E136" s="60"/>
      <c r="F136" s="59" t="s">
        <v>290</v>
      </c>
      <c r="G136" s="90"/>
      <c r="H136" s="92"/>
      <c r="I136" s="201"/>
      <c r="J136" s="202">
        <v>0.2</v>
      </c>
      <c r="K136" s="106"/>
      <c r="L136" s="55">
        <f>SUM(L131:L135)*J136</f>
        <v>170.14620000000002</v>
      </c>
    </row>
    <row r="137" spans="1:12" ht="16.5" thickBot="1" x14ac:dyDescent="0.3">
      <c r="A137" s="53"/>
      <c r="B137" s="53"/>
      <c r="C137" s="53"/>
      <c r="D137" s="53"/>
      <c r="E137" s="53"/>
      <c r="F137" s="98"/>
      <c r="G137" s="479" t="s">
        <v>291</v>
      </c>
      <c r="H137" s="480"/>
      <c r="I137" s="203"/>
      <c r="J137" s="203"/>
      <c r="K137" s="204"/>
      <c r="L137" s="66">
        <f>SUM(L131:L136)+250</f>
        <v>1270.8771999999999</v>
      </c>
    </row>
    <row r="138" spans="1:12" ht="21" thickBot="1" x14ac:dyDescent="0.3">
      <c r="A138" s="96"/>
      <c r="B138" s="70"/>
      <c r="C138" s="70"/>
      <c r="D138" s="70"/>
      <c r="E138" s="70"/>
      <c r="F138" s="71" t="s">
        <v>99</v>
      </c>
      <c r="G138" s="70"/>
      <c r="H138" s="70"/>
      <c r="I138" s="70"/>
      <c r="J138" s="70"/>
      <c r="K138" s="72"/>
      <c r="L138" s="73"/>
    </row>
    <row r="139" spans="1:12" ht="16.5" thickBot="1" x14ac:dyDescent="0.3">
      <c r="A139" s="194"/>
      <c r="B139" s="194"/>
      <c r="C139" s="194"/>
      <c r="D139" s="194"/>
      <c r="E139" s="194"/>
      <c r="F139" s="195"/>
      <c r="G139" s="196"/>
      <c r="H139" s="197"/>
      <c r="I139" s="198"/>
      <c r="J139" s="198"/>
      <c r="K139" s="199"/>
      <c r="L139" s="200"/>
    </row>
    <row r="140" spans="1:12" s="38" customFormat="1" ht="95.25" thickBot="1" x14ac:dyDescent="0.3">
      <c r="A140" s="60"/>
      <c r="B140" s="60" t="s">
        <v>100</v>
      </c>
      <c r="C140" s="60" t="s">
        <v>85</v>
      </c>
      <c r="D140" s="60"/>
      <c r="E140" s="60"/>
      <c r="F140" s="75" t="s">
        <v>101</v>
      </c>
      <c r="G140" s="60" t="s">
        <v>79</v>
      </c>
      <c r="H140" s="91">
        <v>18</v>
      </c>
      <c r="I140" s="90"/>
      <c r="J140" s="208"/>
      <c r="K140" s="106"/>
      <c r="L140" s="55"/>
    </row>
    <row r="141" spans="1:12" s="38" customFormat="1" ht="16.5" thickBot="1" x14ac:dyDescent="0.3">
      <c r="A141" s="60"/>
      <c r="B141" s="60"/>
      <c r="C141" s="60"/>
      <c r="D141" s="60"/>
      <c r="E141" s="60"/>
      <c r="F141" s="75" t="s">
        <v>300</v>
      </c>
      <c r="G141" s="114" t="s">
        <v>79</v>
      </c>
      <c r="H141" s="207">
        <f>H140</f>
        <v>18</v>
      </c>
      <c r="I141" s="90" t="s">
        <v>79</v>
      </c>
      <c r="J141" s="206">
        <f>H141</f>
        <v>18</v>
      </c>
      <c r="K141" s="106">
        <f>'Manufacturer list'!G119</f>
        <v>10.048500000000001</v>
      </c>
      <c r="L141" s="55">
        <f>J141*K141</f>
        <v>180.87300000000002</v>
      </c>
    </row>
    <row r="142" spans="1:12" s="38" customFormat="1" ht="16.5" thickBot="1" x14ac:dyDescent="0.3">
      <c r="A142" s="60"/>
      <c r="B142" s="60"/>
      <c r="C142" s="60"/>
      <c r="D142" s="60"/>
      <c r="E142" s="60"/>
      <c r="F142" s="75" t="s">
        <v>301</v>
      </c>
      <c r="G142" s="114" t="s">
        <v>77</v>
      </c>
      <c r="H142" s="207">
        <f>H140/3</f>
        <v>6</v>
      </c>
      <c r="I142" s="90" t="s">
        <v>324</v>
      </c>
      <c r="J142" s="206">
        <v>1</v>
      </c>
      <c r="K142" s="106">
        <f>'Manufacturer list'!G120</f>
        <v>23.551500000000001</v>
      </c>
      <c r="L142" s="55">
        <f t="shared" ref="L142" si="7">J142*K142</f>
        <v>23.551500000000001</v>
      </c>
    </row>
    <row r="143" spans="1:12" s="38" customFormat="1" ht="16.5" thickBot="1" x14ac:dyDescent="0.3">
      <c r="A143" s="60"/>
      <c r="B143" s="60"/>
      <c r="C143" s="60"/>
      <c r="D143" s="60"/>
      <c r="E143" s="60"/>
      <c r="F143" s="59" t="s">
        <v>290</v>
      </c>
      <c r="G143" s="90"/>
      <c r="H143" s="92"/>
      <c r="I143" s="201"/>
      <c r="J143" s="202">
        <v>0.1</v>
      </c>
      <c r="K143" s="106"/>
      <c r="L143" s="55">
        <f>SUM(L140:L142)*J143</f>
        <v>20.442450000000004</v>
      </c>
    </row>
    <row r="144" spans="1:12" ht="16.5" thickBot="1" x14ac:dyDescent="0.3">
      <c r="A144" s="53"/>
      <c r="B144" s="53"/>
      <c r="C144" s="53"/>
      <c r="D144" s="53"/>
      <c r="E144" s="53"/>
      <c r="F144" s="98"/>
      <c r="G144" s="479" t="s">
        <v>291</v>
      </c>
      <c r="H144" s="480"/>
      <c r="I144" s="203"/>
      <c r="J144" s="203"/>
      <c r="K144" s="204"/>
      <c r="L144" s="66">
        <f>SUM(L140:L143)+230</f>
        <v>454.86695000000003</v>
      </c>
    </row>
    <row r="145" spans="1:12" ht="16.5" thickBot="1" x14ac:dyDescent="0.3">
      <c r="A145" s="194"/>
      <c r="B145" s="194"/>
      <c r="C145" s="194"/>
      <c r="D145" s="194"/>
      <c r="E145" s="194"/>
      <c r="F145" s="195"/>
      <c r="G145" s="196"/>
      <c r="H145" s="197"/>
      <c r="I145" s="198"/>
      <c r="J145" s="198"/>
      <c r="K145" s="199"/>
      <c r="L145" s="200"/>
    </row>
    <row r="146" spans="1:12" s="38" customFormat="1" ht="48" thickBot="1" x14ac:dyDescent="0.3">
      <c r="A146" s="60"/>
      <c r="B146" s="60" t="s">
        <v>86</v>
      </c>
      <c r="C146" s="60" t="s">
        <v>85</v>
      </c>
      <c r="D146" s="60"/>
      <c r="E146" s="60"/>
      <c r="F146" s="75" t="s">
        <v>152</v>
      </c>
      <c r="G146" s="90" t="s">
        <v>79</v>
      </c>
      <c r="H146" s="91">
        <v>359</v>
      </c>
      <c r="I146" s="201"/>
      <c r="J146" s="201"/>
      <c r="K146" s="106"/>
      <c r="L146" s="55"/>
    </row>
    <row r="147" spans="1:12" s="38" customFormat="1" ht="16.5" thickBot="1" x14ac:dyDescent="0.3">
      <c r="A147" s="60"/>
      <c r="B147" s="60"/>
      <c r="C147" s="60"/>
      <c r="D147" s="60"/>
      <c r="E147" s="60"/>
      <c r="F147" s="75" t="s">
        <v>395</v>
      </c>
      <c r="G147" s="114" t="s">
        <v>79</v>
      </c>
      <c r="H147" s="207">
        <f>H146</f>
        <v>359</v>
      </c>
      <c r="I147" s="165" t="s">
        <v>315</v>
      </c>
      <c r="J147" s="201">
        <f>ROUNDUP(H147/420,0)</f>
        <v>1</v>
      </c>
      <c r="K147" s="106">
        <f>'Manufacturer list'!$G$86</f>
        <v>166.95</v>
      </c>
      <c r="L147" s="55">
        <f>J147*K147</f>
        <v>166.95</v>
      </c>
    </row>
    <row r="148" spans="1:12" s="38" customFormat="1" ht="16.5" thickBot="1" x14ac:dyDescent="0.3">
      <c r="A148" s="60"/>
      <c r="B148" s="60"/>
      <c r="C148" s="60"/>
      <c r="D148" s="60"/>
      <c r="E148" s="60"/>
      <c r="F148" s="75" t="s">
        <v>396</v>
      </c>
      <c r="G148" s="114" t="s">
        <v>79</v>
      </c>
      <c r="H148" s="207">
        <f>H146</f>
        <v>359</v>
      </c>
      <c r="I148" s="90" t="s">
        <v>320</v>
      </c>
      <c r="J148" s="201">
        <f>ROUNDUP(H148/12,0)</f>
        <v>30</v>
      </c>
      <c r="K148" s="106">
        <f>'Manufacturer list'!$G$79</f>
        <v>17.104499999999998</v>
      </c>
      <c r="L148" s="55">
        <f t="shared" ref="L148" si="8">J148*K148</f>
        <v>513.13499999999999</v>
      </c>
    </row>
    <row r="149" spans="1:12" s="38" customFormat="1" ht="16.5" thickBot="1" x14ac:dyDescent="0.3">
      <c r="A149" s="60"/>
      <c r="B149" s="60"/>
      <c r="C149" s="60"/>
      <c r="D149" s="60"/>
      <c r="E149" s="60"/>
      <c r="F149" s="59" t="s">
        <v>290</v>
      </c>
      <c r="G149" s="90"/>
      <c r="H149" s="92"/>
      <c r="I149" s="201"/>
      <c r="J149" s="202">
        <v>0.1</v>
      </c>
      <c r="K149" s="106"/>
      <c r="L149" s="55">
        <f>SUM(L146:L148)*J149</f>
        <v>68.008500000000012</v>
      </c>
    </row>
    <row r="150" spans="1:12" ht="16.5" thickBot="1" x14ac:dyDescent="0.3">
      <c r="A150" s="53"/>
      <c r="B150" s="53"/>
      <c r="C150" s="53"/>
      <c r="D150" s="53"/>
      <c r="E150" s="53"/>
      <c r="F150" s="98"/>
      <c r="G150" s="479" t="s">
        <v>291</v>
      </c>
      <c r="H150" s="480"/>
      <c r="I150" s="203"/>
      <c r="J150" s="203"/>
      <c r="K150" s="204"/>
      <c r="L150" s="66">
        <f>SUM(L146:L149)</f>
        <v>748.09350000000006</v>
      </c>
    </row>
    <row r="151" spans="1:12" ht="16.5" thickBot="1" x14ac:dyDescent="0.3">
      <c r="A151" s="194"/>
      <c r="B151" s="194"/>
      <c r="C151" s="194"/>
      <c r="D151" s="194"/>
      <c r="E151" s="194"/>
      <c r="F151" s="195"/>
      <c r="G151" s="196"/>
      <c r="H151" s="197"/>
      <c r="I151" s="198"/>
      <c r="J151" s="198"/>
      <c r="K151" s="199"/>
      <c r="L151" s="200"/>
    </row>
    <row r="152" spans="1:12" s="38" customFormat="1" ht="69.75" customHeight="1" thickBot="1" x14ac:dyDescent="0.3">
      <c r="A152" s="60"/>
      <c r="B152" s="60" t="s">
        <v>84</v>
      </c>
      <c r="C152" s="53" t="s">
        <v>85</v>
      </c>
      <c r="D152" s="53"/>
      <c r="E152" s="53"/>
      <c r="F152" s="75" t="s">
        <v>153</v>
      </c>
      <c r="G152" s="53" t="s">
        <v>77</v>
      </c>
      <c r="H152" s="79">
        <v>6</v>
      </c>
      <c r="I152" s="201"/>
      <c r="J152" s="201"/>
      <c r="K152" s="106"/>
      <c r="L152" s="55"/>
    </row>
    <row r="153" spans="1:12" s="38" customFormat="1" ht="16.5" thickBot="1" x14ac:dyDescent="0.3">
      <c r="A153" s="60"/>
      <c r="B153" s="60"/>
      <c r="C153" s="60"/>
      <c r="D153" s="60"/>
      <c r="E153" s="60"/>
      <c r="F153" s="212" t="s">
        <v>302</v>
      </c>
      <c r="G153" s="213"/>
      <c r="H153" s="214"/>
      <c r="I153" s="90" t="s">
        <v>320</v>
      </c>
      <c r="J153" s="201">
        <v>15</v>
      </c>
      <c r="K153" s="106">
        <f>'Manufacturer list'!$G$79</f>
        <v>17.104499999999998</v>
      </c>
      <c r="L153" s="55">
        <f>J153*K153</f>
        <v>256.5675</v>
      </c>
    </row>
    <row r="154" spans="1:12" s="38" customFormat="1" ht="16.5" thickBot="1" x14ac:dyDescent="0.3">
      <c r="A154" s="60"/>
      <c r="B154" s="60"/>
      <c r="C154" s="60"/>
      <c r="D154" s="60"/>
      <c r="E154" s="60"/>
      <c r="F154" s="59" t="s">
        <v>290</v>
      </c>
      <c r="G154" s="90"/>
      <c r="H154" s="92"/>
      <c r="I154" s="201"/>
      <c r="J154" s="202">
        <v>0.1</v>
      </c>
      <c r="K154" s="106"/>
      <c r="L154" s="55">
        <f>SUM(L152:L153)*J154</f>
        <v>25.656750000000002</v>
      </c>
    </row>
    <row r="155" spans="1:12" ht="16.5" thickBot="1" x14ac:dyDescent="0.3">
      <c r="A155" s="53"/>
      <c r="B155" s="53"/>
      <c r="C155" s="53"/>
      <c r="D155" s="53"/>
      <c r="E155" s="53"/>
      <c r="F155" s="98"/>
      <c r="G155" s="479" t="s">
        <v>291</v>
      </c>
      <c r="H155" s="480"/>
      <c r="I155" s="203"/>
      <c r="J155" s="203"/>
      <c r="K155" s="204"/>
      <c r="L155" s="66">
        <f>SUM(L152:L154)+250</f>
        <v>532.22424999999998</v>
      </c>
    </row>
    <row r="156" spans="1:12" ht="21" thickBot="1" x14ac:dyDescent="0.3">
      <c r="A156" s="96"/>
      <c r="B156" s="70"/>
      <c r="C156" s="70"/>
      <c r="D156" s="70"/>
      <c r="E156" s="70"/>
      <c r="F156" s="71" t="s">
        <v>32</v>
      </c>
      <c r="G156" s="70"/>
      <c r="H156" s="70"/>
      <c r="I156" s="70"/>
      <c r="J156" s="70"/>
      <c r="K156" s="72"/>
      <c r="L156" s="73"/>
    </row>
    <row r="157" spans="1:12" s="38" customFormat="1" ht="102" customHeight="1" thickBot="1" x14ac:dyDescent="0.3">
      <c r="A157" s="60"/>
      <c r="B157" s="60" t="s">
        <v>102</v>
      </c>
      <c r="C157" s="60" t="s">
        <v>85</v>
      </c>
      <c r="D157" s="60"/>
      <c r="E157" s="60"/>
      <c r="F157" s="101" t="s">
        <v>154</v>
      </c>
      <c r="G157" s="60" t="s">
        <v>79</v>
      </c>
      <c r="H157" s="102">
        <v>7</v>
      </c>
      <c r="I157" s="201"/>
      <c r="J157" s="201"/>
      <c r="K157" s="106"/>
      <c r="L157" s="55"/>
    </row>
    <row r="158" spans="1:12" s="38" customFormat="1" ht="16.5" thickBot="1" x14ac:dyDescent="0.3">
      <c r="A158" s="60"/>
      <c r="B158" s="60"/>
      <c r="C158" s="60"/>
      <c r="D158" s="60"/>
      <c r="E158" s="60"/>
      <c r="F158" s="128" t="s">
        <v>397</v>
      </c>
      <c r="G158" s="397" t="s">
        <v>79</v>
      </c>
      <c r="H158" s="398">
        <f>18</f>
        <v>18</v>
      </c>
      <c r="I158" s="395" t="s">
        <v>430</v>
      </c>
      <c r="J158" s="399">
        <v>1</v>
      </c>
      <c r="K158" s="400">
        <f>'Manufacturer list'!G121</f>
        <v>3.129</v>
      </c>
      <c r="L158" s="55">
        <f>J158*K158</f>
        <v>3.129</v>
      </c>
    </row>
    <row r="159" spans="1:12" s="38" customFormat="1" ht="16.5" thickBot="1" x14ac:dyDescent="0.3">
      <c r="A159" s="60"/>
      <c r="B159" s="60"/>
      <c r="C159" s="60"/>
      <c r="D159" s="60"/>
      <c r="E159" s="60"/>
      <c r="F159" s="128" t="s">
        <v>398</v>
      </c>
      <c r="G159" s="397" t="s">
        <v>79</v>
      </c>
      <c r="H159" s="398">
        <v>18</v>
      </c>
      <c r="I159" s="395" t="s">
        <v>433</v>
      </c>
      <c r="J159" s="399">
        <v>1</v>
      </c>
      <c r="K159" s="400">
        <f>'Manufacturer list'!G122</f>
        <v>33.579000000000001</v>
      </c>
      <c r="L159" s="55">
        <f t="shared" ref="L159:L162" si="9">J159*K159</f>
        <v>33.579000000000001</v>
      </c>
    </row>
    <row r="160" spans="1:12" s="38" customFormat="1" ht="16.5" thickBot="1" x14ac:dyDescent="0.3">
      <c r="A160" s="60"/>
      <c r="B160" s="60"/>
      <c r="C160" s="60"/>
      <c r="D160" s="60"/>
      <c r="E160" s="60"/>
      <c r="F160" s="75" t="s">
        <v>279</v>
      </c>
      <c r="G160" s="114" t="s">
        <v>88</v>
      </c>
      <c r="H160" s="207">
        <f>H157*2</f>
        <v>14</v>
      </c>
      <c r="I160" s="145" t="s">
        <v>308</v>
      </c>
      <c r="J160" s="201">
        <f>ROUNDUP(H160/170,0)</f>
        <v>1</v>
      </c>
      <c r="K160" s="106">
        <f>'Manufacturer list'!G101</f>
        <v>260.59949999999998</v>
      </c>
      <c r="L160" s="55">
        <f t="shared" si="9"/>
        <v>260.59949999999998</v>
      </c>
    </row>
    <row r="161" spans="1:12" s="38" customFormat="1" ht="16.5" thickBot="1" x14ac:dyDescent="0.3">
      <c r="A161" s="60"/>
      <c r="B161" s="60"/>
      <c r="C161" s="60"/>
      <c r="D161" s="60"/>
      <c r="E161" s="60"/>
      <c r="F161" s="75" t="s">
        <v>281</v>
      </c>
      <c r="G161" s="114" t="s">
        <v>88</v>
      </c>
      <c r="H161" s="207">
        <f>H157*2</f>
        <v>14</v>
      </c>
      <c r="I161" s="145" t="s">
        <v>308</v>
      </c>
      <c r="J161" s="201">
        <f>ROUNDUP(H161/170,0)</f>
        <v>1</v>
      </c>
      <c r="K161" s="106">
        <f>'Manufacturer list'!G102</f>
        <v>260.59949999999998</v>
      </c>
      <c r="L161" s="55">
        <f t="shared" si="9"/>
        <v>260.59949999999998</v>
      </c>
    </row>
    <row r="162" spans="1:12" s="38" customFormat="1" ht="16.5" thickBot="1" x14ac:dyDescent="0.3">
      <c r="A162" s="60"/>
      <c r="B162" s="60"/>
      <c r="C162" s="60"/>
      <c r="D162" s="60"/>
      <c r="E162" s="60"/>
      <c r="F162" s="75" t="s">
        <v>282</v>
      </c>
      <c r="G162" s="114" t="s">
        <v>88</v>
      </c>
      <c r="H162" s="207">
        <f>H157*2</f>
        <v>14</v>
      </c>
      <c r="I162" s="145" t="s">
        <v>308</v>
      </c>
      <c r="J162" s="201">
        <f>ROUNDUP(H162/260,0)</f>
        <v>1</v>
      </c>
      <c r="K162" s="106">
        <f>'Manufacturer list'!G103</f>
        <v>207.9</v>
      </c>
      <c r="L162" s="55">
        <f t="shared" si="9"/>
        <v>207.9</v>
      </c>
    </row>
    <row r="163" spans="1:12" s="38" customFormat="1" ht="16.5" thickBot="1" x14ac:dyDescent="0.3">
      <c r="A163" s="60"/>
      <c r="B163" s="60"/>
      <c r="C163" s="60"/>
      <c r="D163" s="60"/>
      <c r="E163" s="60"/>
      <c r="F163" s="59" t="s">
        <v>290</v>
      </c>
      <c r="G163" s="90"/>
      <c r="H163" s="92"/>
      <c r="I163" s="201"/>
      <c r="J163" s="202">
        <v>0.2</v>
      </c>
      <c r="K163" s="106"/>
      <c r="L163" s="55">
        <f>SUM(L157:L162)*J163</f>
        <v>153.16139999999999</v>
      </c>
    </row>
    <row r="164" spans="1:12" ht="16.5" thickBot="1" x14ac:dyDescent="0.3">
      <c r="A164" s="53"/>
      <c r="B164" s="53"/>
      <c r="C164" s="53"/>
      <c r="D164" s="53"/>
      <c r="E164" s="53"/>
      <c r="F164" s="98"/>
      <c r="G164" s="479" t="s">
        <v>291</v>
      </c>
      <c r="H164" s="480"/>
      <c r="I164" s="203"/>
      <c r="J164" s="203"/>
      <c r="K164" s="204"/>
      <c r="L164" s="66">
        <f>SUM(L157:L163)</f>
        <v>918.96839999999986</v>
      </c>
    </row>
    <row r="165" spans="1:12" ht="21" thickBot="1" x14ac:dyDescent="0.3">
      <c r="A165" s="96"/>
      <c r="B165" s="70"/>
      <c r="C165" s="70"/>
      <c r="D165" s="70"/>
      <c r="E165" s="70"/>
      <c r="F165" s="71" t="s">
        <v>33</v>
      </c>
      <c r="G165" s="70"/>
      <c r="H165" s="70"/>
      <c r="I165" s="70"/>
      <c r="J165" s="70"/>
      <c r="K165" s="72"/>
      <c r="L165" s="73"/>
    </row>
    <row r="166" spans="1:12" s="38" customFormat="1" ht="16.5" thickBot="1" x14ac:dyDescent="0.3">
      <c r="A166" s="60"/>
      <c r="B166" s="60" t="s">
        <v>103</v>
      </c>
      <c r="C166" s="60"/>
      <c r="D166" s="60"/>
      <c r="E166" s="60"/>
      <c r="F166" s="104" t="s">
        <v>104</v>
      </c>
      <c r="G166" s="105" t="s">
        <v>79</v>
      </c>
      <c r="H166" s="105">
        <v>359</v>
      </c>
      <c r="I166" s="90"/>
      <c r="J166" s="209"/>
      <c r="K166" s="106"/>
      <c r="L166" s="55"/>
    </row>
    <row r="167" spans="1:12" s="38" customFormat="1" ht="16.5" thickBot="1" x14ac:dyDescent="0.3">
      <c r="A167" s="60"/>
      <c r="B167" s="60"/>
      <c r="C167" s="60"/>
      <c r="D167" s="60"/>
      <c r="E167" s="60"/>
      <c r="F167" s="75"/>
      <c r="G167" s="114"/>
      <c r="H167" s="207"/>
      <c r="I167" s="90"/>
      <c r="J167" s="206"/>
      <c r="K167" s="106"/>
      <c r="L167" s="55">
        <f>J167*K167</f>
        <v>0</v>
      </c>
    </row>
    <row r="168" spans="1:12" s="38" customFormat="1" ht="16.5" thickBot="1" x14ac:dyDescent="0.3">
      <c r="A168" s="60"/>
      <c r="B168" s="60"/>
      <c r="C168" s="60"/>
      <c r="D168" s="60"/>
      <c r="E168" s="60"/>
      <c r="F168" s="75"/>
      <c r="G168" s="114"/>
      <c r="H168" s="207"/>
      <c r="I168" s="145"/>
      <c r="J168" s="206"/>
      <c r="K168" s="106"/>
      <c r="L168" s="55">
        <f t="shared" ref="L168" si="10">J168*K168</f>
        <v>0</v>
      </c>
    </row>
    <row r="169" spans="1:12" s="38" customFormat="1" ht="16.5" thickBot="1" x14ac:dyDescent="0.3">
      <c r="A169" s="60"/>
      <c r="B169" s="60"/>
      <c r="C169" s="60"/>
      <c r="D169" s="60"/>
      <c r="E169" s="60"/>
      <c r="F169" s="59" t="s">
        <v>290</v>
      </c>
      <c r="G169" s="90"/>
      <c r="H169" s="92"/>
      <c r="I169" s="201"/>
      <c r="J169" s="202">
        <v>0.15</v>
      </c>
      <c r="K169" s="106"/>
      <c r="L169" s="55">
        <f>SUM(L166:L168)*J169</f>
        <v>0</v>
      </c>
    </row>
    <row r="170" spans="1:12" ht="16.5" thickBot="1" x14ac:dyDescent="0.3">
      <c r="A170" s="53"/>
      <c r="B170" s="53"/>
      <c r="C170" s="53"/>
      <c r="D170" s="53"/>
      <c r="E170" s="53"/>
      <c r="F170" s="98"/>
      <c r="G170" s="479" t="s">
        <v>291</v>
      </c>
      <c r="H170" s="480"/>
      <c r="I170" s="203"/>
      <c r="J170" s="203"/>
      <c r="K170" s="204"/>
      <c r="L170" s="211">
        <f>SUM(L166:L169)</f>
        <v>0</v>
      </c>
    </row>
    <row r="171" spans="1:12" ht="21" thickBot="1" x14ac:dyDescent="0.3">
      <c r="A171" s="96"/>
      <c r="B171" s="70"/>
      <c r="C171" s="70"/>
      <c r="D171" s="70"/>
      <c r="E171" s="70"/>
      <c r="F171" s="71" t="s">
        <v>108</v>
      </c>
      <c r="G171" s="70"/>
      <c r="H171" s="70"/>
      <c r="I171" s="70"/>
      <c r="J171" s="70"/>
      <c r="K171" s="72"/>
      <c r="L171" s="73"/>
    </row>
    <row r="172" spans="1:12" s="38" customFormat="1" ht="48" thickBot="1" x14ac:dyDescent="0.3">
      <c r="A172" s="60"/>
      <c r="B172" s="60" t="s">
        <v>86</v>
      </c>
      <c r="C172" s="60" t="s">
        <v>85</v>
      </c>
      <c r="D172" s="60"/>
      <c r="E172" s="60"/>
      <c r="F172" s="101" t="s">
        <v>130</v>
      </c>
      <c r="G172" s="90" t="s">
        <v>79</v>
      </c>
      <c r="H172" s="91">
        <v>150</v>
      </c>
      <c r="I172" s="201"/>
      <c r="J172" s="201"/>
      <c r="K172" s="106"/>
      <c r="L172" s="55"/>
    </row>
    <row r="173" spans="1:12" s="38" customFormat="1" ht="16.5" thickBot="1" x14ac:dyDescent="0.3">
      <c r="A173" s="60"/>
      <c r="B173" s="60"/>
      <c r="C173" s="60"/>
      <c r="D173" s="60"/>
      <c r="E173" s="60"/>
      <c r="F173" s="75" t="s">
        <v>395</v>
      </c>
      <c r="G173" s="114" t="s">
        <v>79</v>
      </c>
      <c r="H173" s="207">
        <f>H172</f>
        <v>150</v>
      </c>
      <c r="I173" s="165" t="s">
        <v>315</v>
      </c>
      <c r="J173" s="201">
        <f>ROUNDUP(H173/420,0)</f>
        <v>1</v>
      </c>
      <c r="K173" s="106">
        <f>'Manufacturer list'!$G$86</f>
        <v>166.95</v>
      </c>
      <c r="L173" s="55">
        <f>J173*K173</f>
        <v>166.95</v>
      </c>
    </row>
    <row r="174" spans="1:12" s="38" customFormat="1" ht="16.5" thickBot="1" x14ac:dyDescent="0.3">
      <c r="A174" s="60"/>
      <c r="B174" s="60"/>
      <c r="C174" s="60"/>
      <c r="D174" s="60"/>
      <c r="E174" s="60"/>
      <c r="F174" s="75" t="s">
        <v>396</v>
      </c>
      <c r="G174" s="114" t="s">
        <v>79</v>
      </c>
      <c r="H174" s="207">
        <f>H172</f>
        <v>150</v>
      </c>
      <c r="I174" s="90" t="s">
        <v>320</v>
      </c>
      <c r="J174" s="201">
        <f>ROUNDUP(H174/12,0)</f>
        <v>13</v>
      </c>
      <c r="K174" s="106">
        <f>'Manufacturer list'!$G$79</f>
        <v>17.104499999999998</v>
      </c>
      <c r="L174" s="55">
        <f t="shared" ref="L174" si="11">J174*K174</f>
        <v>222.35849999999996</v>
      </c>
    </row>
    <row r="175" spans="1:12" s="38" customFormat="1" ht="16.5" thickBot="1" x14ac:dyDescent="0.3">
      <c r="A175" s="60"/>
      <c r="B175" s="60"/>
      <c r="C175" s="60"/>
      <c r="D175" s="60"/>
      <c r="E175" s="60"/>
      <c r="F175" s="59" t="s">
        <v>290</v>
      </c>
      <c r="G175" s="90"/>
      <c r="H175" s="92"/>
      <c r="I175" s="201"/>
      <c r="J175" s="202">
        <v>0.2</v>
      </c>
      <c r="K175" s="106"/>
      <c r="L175" s="55">
        <f>SUM(L172:L174)*J175</f>
        <v>77.861699999999999</v>
      </c>
    </row>
    <row r="176" spans="1:12" ht="16.5" thickBot="1" x14ac:dyDescent="0.3">
      <c r="A176" s="53"/>
      <c r="B176" s="53"/>
      <c r="C176" s="53"/>
      <c r="D176" s="53"/>
      <c r="E176" s="53"/>
      <c r="F176" s="98"/>
      <c r="G176" s="479" t="s">
        <v>291</v>
      </c>
      <c r="H176" s="480"/>
      <c r="I176" s="203"/>
      <c r="J176" s="203"/>
      <c r="K176" s="204"/>
      <c r="L176" s="66">
        <f>SUM(L172:L175)</f>
        <v>467.17019999999997</v>
      </c>
    </row>
    <row r="177" spans="1:12" ht="16.5" thickBot="1" x14ac:dyDescent="0.3">
      <c r="A177" s="194"/>
      <c r="B177" s="194"/>
      <c r="C177" s="194"/>
      <c r="D177" s="194"/>
      <c r="E177" s="194"/>
      <c r="F177" s="195"/>
      <c r="G177" s="196"/>
      <c r="H177" s="197"/>
      <c r="I177" s="198"/>
      <c r="J177" s="198"/>
      <c r="K177" s="199"/>
      <c r="L177" s="200"/>
    </row>
    <row r="178" spans="1:12" s="38" customFormat="1" ht="78.75" customHeight="1" thickBot="1" x14ac:dyDescent="0.3">
      <c r="A178" s="60"/>
      <c r="B178" s="60" t="s">
        <v>87</v>
      </c>
      <c r="C178" s="60" t="s">
        <v>85</v>
      </c>
      <c r="D178" s="60"/>
      <c r="E178" s="60"/>
      <c r="F178" s="75" t="s">
        <v>147</v>
      </c>
      <c r="G178" s="90" t="s">
        <v>88</v>
      </c>
      <c r="H178" s="92">
        <v>150</v>
      </c>
      <c r="I178" s="201"/>
      <c r="J178" s="201"/>
      <c r="K178" s="106"/>
      <c r="L178" s="55"/>
    </row>
    <row r="179" spans="1:12" s="38" customFormat="1" ht="16.5" thickBot="1" x14ac:dyDescent="0.3">
      <c r="A179" s="60"/>
      <c r="B179" s="60"/>
      <c r="C179" s="60"/>
      <c r="D179" s="60"/>
      <c r="E179" s="60"/>
      <c r="F179" s="75" t="s">
        <v>332</v>
      </c>
      <c r="G179" s="114" t="s">
        <v>77</v>
      </c>
      <c r="H179" s="210">
        <f>ROUNDUP((J181/10)*2,0)</f>
        <v>250</v>
      </c>
      <c r="I179" s="201" t="s">
        <v>77</v>
      </c>
      <c r="J179" s="201">
        <f>H179</f>
        <v>250</v>
      </c>
      <c r="K179" s="106">
        <f>'Manufacturer list'!$G$58</f>
        <v>1.575</v>
      </c>
      <c r="L179" s="55">
        <f>J179*K179</f>
        <v>393.75</v>
      </c>
    </row>
    <row r="180" spans="1:12" s="38" customFormat="1" ht="16.5" thickBot="1" x14ac:dyDescent="0.3">
      <c r="A180" s="60"/>
      <c r="B180" s="60"/>
      <c r="C180" s="60"/>
      <c r="D180" s="60"/>
      <c r="E180" s="60"/>
      <c r="F180" s="75" t="s">
        <v>229</v>
      </c>
      <c r="G180" s="114" t="s">
        <v>77</v>
      </c>
      <c r="H180" s="210">
        <f>ROUNDUP((J181/10)*2,0)</f>
        <v>250</v>
      </c>
      <c r="I180" s="168" t="s">
        <v>330</v>
      </c>
      <c r="J180" s="201">
        <v>1</v>
      </c>
      <c r="K180" s="106">
        <f>'Manufacturer list'!$G$59</f>
        <v>82.341000000000008</v>
      </c>
      <c r="L180" s="55">
        <f t="shared" ref="L180:L182" si="12">J180*K180</f>
        <v>82.341000000000008</v>
      </c>
    </row>
    <row r="181" spans="1:12" s="38" customFormat="1" ht="16.5" thickBot="1" x14ac:dyDescent="0.3">
      <c r="A181" s="60"/>
      <c r="B181" s="60"/>
      <c r="C181" s="60"/>
      <c r="D181" s="60"/>
      <c r="E181" s="60"/>
      <c r="F181" s="75" t="s">
        <v>295</v>
      </c>
      <c r="G181" s="114" t="s">
        <v>88</v>
      </c>
      <c r="H181" s="210">
        <f>H178</f>
        <v>150</v>
      </c>
      <c r="I181" s="201" t="s">
        <v>77</v>
      </c>
      <c r="J181" s="201">
        <f>ROUNDUP(H181/0.12,0)</f>
        <v>1250</v>
      </c>
      <c r="K181" s="106">
        <f>'Manufacturer list'!$G$113</f>
        <v>1.4175</v>
      </c>
      <c r="L181" s="55">
        <f t="shared" si="12"/>
        <v>1771.875</v>
      </c>
    </row>
    <row r="182" spans="1:12" s="38" customFormat="1" ht="16.5" thickBot="1" x14ac:dyDescent="0.3">
      <c r="A182" s="60"/>
      <c r="B182" s="60"/>
      <c r="C182" s="60"/>
      <c r="D182" s="60"/>
      <c r="E182" s="60"/>
      <c r="F182" s="75" t="s">
        <v>386</v>
      </c>
      <c r="G182" s="114"/>
      <c r="H182" s="210"/>
      <c r="I182" s="219" t="s">
        <v>512</v>
      </c>
      <c r="J182" s="201">
        <f>ROUNDUP(J181/39,0)</f>
        <v>33</v>
      </c>
      <c r="K182" s="106">
        <f>'Manufacturer list'!$G$45</f>
        <v>14.7</v>
      </c>
      <c r="L182" s="55">
        <f t="shared" si="12"/>
        <v>485.09999999999997</v>
      </c>
    </row>
    <row r="183" spans="1:12" s="38" customFormat="1" ht="16.5" thickBot="1" x14ac:dyDescent="0.3">
      <c r="A183" s="60"/>
      <c r="B183" s="60"/>
      <c r="C183" s="60"/>
      <c r="D183" s="60"/>
      <c r="E183" s="60"/>
      <c r="F183" s="59" t="s">
        <v>290</v>
      </c>
      <c r="G183" s="90"/>
      <c r="H183" s="92"/>
      <c r="I183" s="201"/>
      <c r="J183" s="202">
        <v>0.2</v>
      </c>
      <c r="K183" s="106"/>
      <c r="L183" s="55">
        <f>SUM(L178:L182)*J183</f>
        <v>546.61320000000001</v>
      </c>
    </row>
    <row r="184" spans="1:12" ht="16.5" thickBot="1" x14ac:dyDescent="0.3">
      <c r="A184" s="53"/>
      <c r="B184" s="53"/>
      <c r="C184" s="53"/>
      <c r="D184" s="53"/>
      <c r="E184" s="53"/>
      <c r="F184" s="98"/>
      <c r="G184" s="479" t="s">
        <v>291</v>
      </c>
      <c r="H184" s="480"/>
      <c r="I184" s="203"/>
      <c r="J184" s="203"/>
      <c r="K184" s="204"/>
      <c r="L184" s="66">
        <f>SUM(L178:L183)</f>
        <v>3279.6791999999996</v>
      </c>
    </row>
    <row r="185" spans="1:12" ht="16.5" thickBot="1" x14ac:dyDescent="0.3">
      <c r="A185" s="194"/>
      <c r="B185" s="194"/>
      <c r="C185" s="194"/>
      <c r="D185" s="194"/>
      <c r="E185" s="194"/>
      <c r="F185" s="195"/>
      <c r="G185" s="196"/>
      <c r="H185" s="197"/>
      <c r="I185" s="198"/>
      <c r="J185" s="198"/>
      <c r="K185" s="199"/>
      <c r="L185" s="200"/>
    </row>
    <row r="186" spans="1:12" s="38" customFormat="1" ht="79.5" thickBot="1" x14ac:dyDescent="0.3">
      <c r="A186" s="60"/>
      <c r="B186" s="60" t="s">
        <v>96</v>
      </c>
      <c r="C186" s="60" t="s">
        <v>95</v>
      </c>
      <c r="D186" s="60"/>
      <c r="E186" s="60"/>
      <c r="F186" s="75" t="s">
        <v>150</v>
      </c>
      <c r="G186" s="90" t="s">
        <v>88</v>
      </c>
      <c r="H186" s="92">
        <v>1.39</v>
      </c>
      <c r="I186" s="201"/>
      <c r="J186" s="201"/>
      <c r="K186" s="106"/>
      <c r="L186" s="55"/>
    </row>
    <row r="187" spans="1:12" s="38" customFormat="1" ht="16.5" thickBot="1" x14ac:dyDescent="0.3">
      <c r="A187" s="60"/>
      <c r="B187" s="60"/>
      <c r="C187" s="60"/>
      <c r="D187" s="60"/>
      <c r="E187" s="60"/>
      <c r="F187" s="75" t="s">
        <v>393</v>
      </c>
      <c r="G187" s="90" t="s">
        <v>294</v>
      </c>
      <c r="H187" s="207">
        <f>H186*0.33</f>
        <v>0.4587</v>
      </c>
      <c r="I187" s="145" t="s">
        <v>348</v>
      </c>
      <c r="J187" s="201">
        <f>ROUNDUP(H187/0.5,0)</f>
        <v>1</v>
      </c>
      <c r="K187" s="106">
        <f>'Manufacturer list'!$G$27</f>
        <v>339.34949999999998</v>
      </c>
      <c r="L187" s="55">
        <f>J187*K187</f>
        <v>339.34949999999998</v>
      </c>
    </row>
    <row r="188" spans="1:12" s="38" customFormat="1" ht="16.5" thickBot="1" x14ac:dyDescent="0.3">
      <c r="A188" s="60"/>
      <c r="B188" s="60"/>
      <c r="C188" s="60"/>
      <c r="D188" s="60"/>
      <c r="E188" s="60"/>
      <c r="F188" s="75" t="s">
        <v>394</v>
      </c>
      <c r="G188" s="114" t="s">
        <v>77</v>
      </c>
      <c r="H188" s="207">
        <f>H186/(0.5*0.5)</f>
        <v>5.56</v>
      </c>
      <c r="I188" s="90" t="s">
        <v>324</v>
      </c>
      <c r="J188" s="206">
        <v>1</v>
      </c>
      <c r="K188" s="106">
        <f>'Manufacturer list'!$G$118</f>
        <v>79.106999999999999</v>
      </c>
      <c r="L188" s="55">
        <f t="shared" ref="L188:L190" si="13">J188*K188</f>
        <v>79.106999999999999</v>
      </c>
    </row>
    <row r="189" spans="1:12" s="38" customFormat="1" ht="16.5" thickBot="1" x14ac:dyDescent="0.3">
      <c r="A189" s="60"/>
      <c r="B189" s="60"/>
      <c r="C189" s="60"/>
      <c r="D189" s="60"/>
      <c r="E189" s="60"/>
      <c r="F189" s="75" t="s">
        <v>380</v>
      </c>
      <c r="G189" s="114"/>
      <c r="H189" s="205"/>
      <c r="I189" s="145" t="s">
        <v>335</v>
      </c>
      <c r="J189" s="201">
        <f>ROUNDUP(J188/10,0)</f>
        <v>1</v>
      </c>
      <c r="K189" s="106">
        <f>'Manufacturer list'!$G$52</f>
        <v>78.224999999999994</v>
      </c>
      <c r="L189" s="55">
        <f t="shared" si="13"/>
        <v>78.224999999999994</v>
      </c>
    </row>
    <row r="190" spans="1:12" s="38" customFormat="1" ht="16.5" thickBot="1" x14ac:dyDescent="0.3">
      <c r="A190" s="60"/>
      <c r="B190" s="60"/>
      <c r="C190" s="60"/>
      <c r="D190" s="60"/>
      <c r="E190" s="60"/>
      <c r="F190" s="75" t="s">
        <v>386</v>
      </c>
      <c r="G190" s="114" t="s">
        <v>88</v>
      </c>
      <c r="H190" s="207">
        <f>H186</f>
        <v>1.39</v>
      </c>
      <c r="I190" s="219" t="s">
        <v>339</v>
      </c>
      <c r="J190" s="206">
        <v>1</v>
      </c>
      <c r="K190" s="106">
        <f>'Manufacturer list'!$G$45</f>
        <v>14.7</v>
      </c>
      <c r="L190" s="55">
        <f t="shared" si="13"/>
        <v>14.7</v>
      </c>
    </row>
    <row r="191" spans="1:12" s="38" customFormat="1" ht="16.5" thickBot="1" x14ac:dyDescent="0.3">
      <c r="A191" s="60"/>
      <c r="B191" s="60"/>
      <c r="C191" s="60"/>
      <c r="D191" s="60"/>
      <c r="E191" s="60"/>
      <c r="F191" s="59" t="s">
        <v>290</v>
      </c>
      <c r="G191" s="90"/>
      <c r="H191" s="92"/>
      <c r="I191" s="201"/>
      <c r="J191" s="202">
        <v>0.2</v>
      </c>
      <c r="K191" s="106"/>
      <c r="L191" s="55">
        <f>SUM(L186:L190)*J191</f>
        <v>102.27630000000001</v>
      </c>
    </row>
    <row r="192" spans="1:12" ht="16.5" thickBot="1" x14ac:dyDescent="0.3">
      <c r="A192" s="53"/>
      <c r="B192" s="53"/>
      <c r="C192" s="53"/>
      <c r="D192" s="53"/>
      <c r="E192" s="53"/>
      <c r="F192" s="98"/>
      <c r="G192" s="479" t="s">
        <v>291</v>
      </c>
      <c r="H192" s="480"/>
      <c r="I192" s="203"/>
      <c r="J192" s="203"/>
      <c r="K192" s="204"/>
      <c r="L192" s="66">
        <f>SUM(L186:L191)</f>
        <v>613.65780000000007</v>
      </c>
    </row>
    <row r="193" spans="1:12" ht="16.5" thickBot="1" x14ac:dyDescent="0.3">
      <c r="A193" s="194"/>
      <c r="B193" s="194"/>
      <c r="C193" s="194"/>
      <c r="D193" s="194"/>
      <c r="E193" s="194"/>
      <c r="F193" s="195"/>
      <c r="G193" s="196"/>
      <c r="H193" s="197"/>
      <c r="I193" s="198"/>
      <c r="J193" s="198"/>
      <c r="K193" s="199"/>
      <c r="L193" s="200"/>
    </row>
    <row r="194" spans="1:12" s="38" customFormat="1" ht="71.25" customHeight="1" thickBot="1" x14ac:dyDescent="0.3">
      <c r="A194" s="60"/>
      <c r="B194" s="60" t="s">
        <v>98</v>
      </c>
      <c r="C194" s="60" t="s">
        <v>95</v>
      </c>
      <c r="D194" s="60"/>
      <c r="E194" s="60"/>
      <c r="F194" s="75" t="s">
        <v>151</v>
      </c>
      <c r="G194" s="90" t="s">
        <v>79</v>
      </c>
      <c r="H194" s="92">
        <f>150/12</f>
        <v>12.5</v>
      </c>
      <c r="I194" s="201"/>
      <c r="J194" s="201"/>
      <c r="K194" s="106"/>
      <c r="L194" s="55"/>
    </row>
    <row r="195" spans="1:12" s="38" customFormat="1" ht="16.5" thickBot="1" x14ac:dyDescent="0.3">
      <c r="A195" s="60"/>
      <c r="B195" s="60"/>
      <c r="C195" s="60"/>
      <c r="D195" s="60"/>
      <c r="E195" s="60"/>
      <c r="F195" s="75" t="s">
        <v>384</v>
      </c>
      <c r="G195" s="53" t="s">
        <v>77</v>
      </c>
      <c r="H195" s="205">
        <f>H194/0.5</f>
        <v>25</v>
      </c>
      <c r="I195" s="201" t="s">
        <v>77</v>
      </c>
      <c r="J195" s="201">
        <f>H195</f>
        <v>25</v>
      </c>
      <c r="K195" s="106">
        <f>'Manufacturer list'!$G$35</f>
        <v>1.1655000000000002</v>
      </c>
      <c r="L195" s="55">
        <f>J195*K195</f>
        <v>29.137500000000006</v>
      </c>
    </row>
    <row r="196" spans="1:12" s="38" customFormat="1" ht="16.5" thickBot="1" x14ac:dyDescent="0.3">
      <c r="A196" s="60"/>
      <c r="B196" s="60"/>
      <c r="C196" s="60"/>
      <c r="D196" s="60"/>
      <c r="E196" s="60"/>
      <c r="F196" s="75" t="s">
        <v>385</v>
      </c>
      <c r="G196" s="53" t="s">
        <v>294</v>
      </c>
      <c r="H196" s="225">
        <f>H194*0.083*0.083</f>
        <v>8.6112500000000008E-2</v>
      </c>
      <c r="I196" s="201" t="s">
        <v>351</v>
      </c>
      <c r="J196" s="201">
        <v>1</v>
      </c>
      <c r="K196" s="106">
        <f>'Manufacturer list'!$G$23</f>
        <v>87.654000000000011</v>
      </c>
      <c r="L196" s="55">
        <f t="shared" ref="L196" si="14">J196*K196</f>
        <v>87.654000000000011</v>
      </c>
    </row>
    <row r="197" spans="1:12" s="38" customFormat="1" ht="16.5" thickBot="1" x14ac:dyDescent="0.3">
      <c r="A197" s="60"/>
      <c r="B197" s="60"/>
      <c r="C197" s="60"/>
      <c r="D197" s="60"/>
      <c r="E197" s="60"/>
      <c r="F197" s="59" t="s">
        <v>290</v>
      </c>
      <c r="G197" s="90"/>
      <c r="H197" s="92"/>
      <c r="I197" s="201"/>
      <c r="J197" s="202">
        <v>0.2</v>
      </c>
      <c r="K197" s="106"/>
      <c r="L197" s="55">
        <f>SUM(L194:L196)*J197</f>
        <v>23.358300000000003</v>
      </c>
    </row>
    <row r="198" spans="1:12" ht="16.5" thickBot="1" x14ac:dyDescent="0.3">
      <c r="A198" s="53"/>
      <c r="B198" s="53"/>
      <c r="C198" s="53"/>
      <c r="D198" s="53"/>
      <c r="E198" s="53"/>
      <c r="F198" s="98"/>
      <c r="G198" s="479" t="s">
        <v>291</v>
      </c>
      <c r="H198" s="480"/>
      <c r="I198" s="203"/>
      <c r="J198" s="203"/>
      <c r="K198" s="204"/>
      <c r="L198" s="66">
        <f>SUM(L194:L197)</f>
        <v>140.14980000000003</v>
      </c>
    </row>
    <row r="199" spans="1:12" ht="16.5" thickBot="1" x14ac:dyDescent="0.3">
      <c r="A199" s="194"/>
      <c r="B199" s="194"/>
      <c r="C199" s="194"/>
      <c r="D199" s="194"/>
      <c r="E199" s="194"/>
      <c r="F199" s="195"/>
      <c r="G199" s="196"/>
      <c r="H199" s="197"/>
      <c r="I199" s="198"/>
      <c r="J199" s="198"/>
      <c r="K199" s="199"/>
      <c r="L199" s="200"/>
    </row>
    <row r="200" spans="1:12" s="38" customFormat="1" ht="48" thickBot="1" x14ac:dyDescent="0.3">
      <c r="A200" s="60"/>
      <c r="B200" s="60" t="s">
        <v>91</v>
      </c>
      <c r="C200" s="60" t="s">
        <v>92</v>
      </c>
      <c r="D200" s="60"/>
      <c r="E200" s="60"/>
      <c r="F200" s="75" t="s">
        <v>148</v>
      </c>
      <c r="G200" s="90" t="s">
        <v>79</v>
      </c>
      <c r="H200" s="92">
        <v>400</v>
      </c>
      <c r="I200" s="201"/>
      <c r="J200" s="201"/>
      <c r="K200" s="106"/>
      <c r="L200" s="55"/>
    </row>
    <row r="201" spans="1:12" s="38" customFormat="1" ht="16.5" thickBot="1" x14ac:dyDescent="0.3">
      <c r="A201" s="60"/>
      <c r="B201" s="60"/>
      <c r="C201" s="60"/>
      <c r="D201" s="60"/>
      <c r="E201" s="60"/>
      <c r="F201" s="75" t="s">
        <v>386</v>
      </c>
      <c r="G201" s="90" t="s">
        <v>79</v>
      </c>
      <c r="H201" s="207">
        <f>H200</f>
        <v>400</v>
      </c>
      <c r="I201" s="219" t="s">
        <v>339</v>
      </c>
      <c r="J201" s="201">
        <f>ROUNDUP(H201/100,0)</f>
        <v>4</v>
      </c>
      <c r="K201" s="106">
        <f>'Manufacturer list'!$G$45</f>
        <v>14.7</v>
      </c>
      <c r="L201" s="55">
        <f>J201*K201</f>
        <v>58.8</v>
      </c>
    </row>
    <row r="202" spans="1:12" s="38" customFormat="1" ht="16.5" thickBot="1" x14ac:dyDescent="0.3">
      <c r="A202" s="60"/>
      <c r="B202" s="60"/>
      <c r="C202" s="60"/>
      <c r="D202" s="60"/>
      <c r="E202" s="60"/>
      <c r="F202" s="59" t="s">
        <v>290</v>
      </c>
      <c r="G202" s="90"/>
      <c r="H202" s="92"/>
      <c r="I202" s="201"/>
      <c r="J202" s="202">
        <v>0.2</v>
      </c>
      <c r="K202" s="106"/>
      <c r="L202" s="55">
        <f>SUM(L200:L201)*J202</f>
        <v>11.76</v>
      </c>
    </row>
    <row r="203" spans="1:12" ht="16.5" thickBot="1" x14ac:dyDescent="0.3">
      <c r="A203" s="53"/>
      <c r="B203" s="53"/>
      <c r="C203" s="53"/>
      <c r="D203" s="53"/>
      <c r="E203" s="53"/>
      <c r="F203" s="98"/>
      <c r="G203" s="479" t="s">
        <v>291</v>
      </c>
      <c r="H203" s="480"/>
      <c r="I203" s="203"/>
      <c r="J203" s="203"/>
      <c r="K203" s="204"/>
      <c r="L203" s="66">
        <f>SUM(L200:L202)+70</f>
        <v>140.56</v>
      </c>
    </row>
    <row r="204" spans="1:12" ht="16.5" thickBot="1" x14ac:dyDescent="0.3">
      <c r="A204" s="194"/>
      <c r="B204" s="194"/>
      <c r="C204" s="194"/>
      <c r="D204" s="194"/>
      <c r="E204" s="194"/>
      <c r="F204" s="195"/>
      <c r="G204" s="196"/>
      <c r="H204" s="197"/>
      <c r="I204" s="198"/>
      <c r="J204" s="198"/>
      <c r="K204" s="199"/>
      <c r="L204" s="200"/>
    </row>
    <row r="205" spans="1:12" s="38" customFormat="1" ht="57.75" customHeight="1" thickBot="1" x14ac:dyDescent="0.3">
      <c r="A205" s="60"/>
      <c r="B205" s="60" t="s">
        <v>93</v>
      </c>
      <c r="C205" s="60" t="s">
        <v>92</v>
      </c>
      <c r="D205" s="60"/>
      <c r="E205" s="60"/>
      <c r="F205" s="128" t="s">
        <v>149</v>
      </c>
      <c r="G205" s="90" t="s">
        <v>88</v>
      </c>
      <c r="H205" s="92">
        <v>400</v>
      </c>
      <c r="I205" s="90"/>
      <c r="J205" s="208"/>
      <c r="K205" s="106"/>
      <c r="L205" s="55"/>
    </row>
    <row r="206" spans="1:12" s="38" customFormat="1" ht="16.5" thickBot="1" x14ac:dyDescent="0.3">
      <c r="A206" s="60"/>
      <c r="B206" s="60"/>
      <c r="C206" s="60"/>
      <c r="D206" s="60"/>
      <c r="E206" s="60"/>
      <c r="F206" s="75" t="s">
        <v>386</v>
      </c>
      <c r="G206" s="90" t="s">
        <v>88</v>
      </c>
      <c r="H206" s="207">
        <f>H205</f>
        <v>400</v>
      </c>
      <c r="I206" s="219" t="s">
        <v>339</v>
      </c>
      <c r="J206" s="201">
        <f>ROUNDUP(H206/20,0)</f>
        <v>20</v>
      </c>
      <c r="K206" s="106">
        <f>'Manufacturer list'!$G$45</f>
        <v>14.7</v>
      </c>
      <c r="L206" s="55">
        <f>J206*K206</f>
        <v>294</v>
      </c>
    </row>
    <row r="207" spans="1:12" s="38" customFormat="1" ht="16.5" thickBot="1" x14ac:dyDescent="0.3">
      <c r="A207" s="60"/>
      <c r="B207" s="60"/>
      <c r="C207" s="60"/>
      <c r="D207" s="60"/>
      <c r="E207" s="60"/>
      <c r="F207" s="59" t="s">
        <v>290</v>
      </c>
      <c r="G207" s="90"/>
      <c r="H207" s="92"/>
      <c r="I207" s="201"/>
      <c r="J207" s="202">
        <v>0.2</v>
      </c>
      <c r="K207" s="106"/>
      <c r="L207" s="55">
        <f>SUM(L205:L206)*J207</f>
        <v>58.800000000000004</v>
      </c>
    </row>
    <row r="208" spans="1:12" ht="16.5" thickBot="1" x14ac:dyDescent="0.3">
      <c r="A208" s="53"/>
      <c r="B208" s="53"/>
      <c r="C208" s="53"/>
      <c r="D208" s="53"/>
      <c r="E208" s="53"/>
      <c r="F208" s="98"/>
      <c r="G208" s="479" t="s">
        <v>291</v>
      </c>
      <c r="H208" s="480"/>
      <c r="I208" s="203"/>
      <c r="J208" s="203"/>
      <c r="K208" s="204"/>
      <c r="L208" s="66">
        <f>SUM(L205:L207)</f>
        <v>352.8</v>
      </c>
    </row>
  </sheetData>
  <mergeCells count="23">
    <mergeCell ref="G89:H89"/>
    <mergeCell ref="G68:H68"/>
    <mergeCell ref="A1:D4"/>
    <mergeCell ref="E1:K3"/>
    <mergeCell ref="L1:L4"/>
    <mergeCell ref="E4:K4"/>
    <mergeCell ref="G176:H176"/>
    <mergeCell ref="G95:H95"/>
    <mergeCell ref="G103:H103"/>
    <mergeCell ref="G109:H109"/>
    <mergeCell ref="G115:H115"/>
    <mergeCell ref="G129:H129"/>
    <mergeCell ref="G137:H137"/>
    <mergeCell ref="G144:H144"/>
    <mergeCell ref="G150:H150"/>
    <mergeCell ref="G155:H155"/>
    <mergeCell ref="G164:H164"/>
    <mergeCell ref="G170:H170"/>
    <mergeCell ref="G184:H184"/>
    <mergeCell ref="G192:H192"/>
    <mergeCell ref="G198:H198"/>
    <mergeCell ref="G203:H203"/>
    <mergeCell ref="G208:H208"/>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6D11-434E-4494-89BD-5B40A9FF89FD}">
  <dimension ref="A1:AW132"/>
  <sheetViews>
    <sheetView topLeftCell="A3" zoomScale="85" zoomScaleNormal="85" workbookViewId="0">
      <selection activeCell="F37" sqref="F37"/>
    </sheetView>
  </sheetViews>
  <sheetFormatPr defaultColWidth="8.85546875" defaultRowHeight="15" x14ac:dyDescent="0.25"/>
  <cols>
    <col min="1" max="1" width="4.140625" customWidth="1"/>
    <col min="2" max="2" width="6.140625" customWidth="1"/>
    <col min="3" max="3" width="65.140625" bestFit="1" customWidth="1"/>
    <col min="4" max="4" width="13.85546875" bestFit="1" customWidth="1"/>
    <col min="5" max="5" width="19.85546875" customWidth="1"/>
    <col min="6" max="6" width="16.42578125" customWidth="1"/>
    <col min="7" max="7" width="15.140625" customWidth="1"/>
    <col min="8" max="8" width="15.42578125" bestFit="1" customWidth="1"/>
    <col min="9" max="9" width="13.140625" customWidth="1"/>
    <col min="10" max="10" width="17.5703125" bestFit="1" customWidth="1"/>
    <col min="11" max="11" width="19.140625" customWidth="1"/>
    <col min="12" max="12" width="20.140625" bestFit="1" customWidth="1"/>
    <col min="13" max="13" width="15.140625" bestFit="1" customWidth="1"/>
    <col min="14" max="14" width="12.85546875" bestFit="1" customWidth="1"/>
  </cols>
  <sheetData>
    <row r="1" spans="2:12" ht="15.75" thickBot="1" x14ac:dyDescent="0.3"/>
    <row r="2" spans="2:12" ht="39" customHeight="1" thickBot="1" x14ac:dyDescent="0.3">
      <c r="B2" s="489" t="s">
        <v>436</v>
      </c>
      <c r="C2" s="490"/>
      <c r="D2" s="490"/>
      <c r="E2" s="490"/>
      <c r="F2" s="490"/>
      <c r="G2" s="490"/>
      <c r="H2" s="490"/>
      <c r="I2" s="490"/>
      <c r="J2" s="490"/>
      <c r="K2" s="490"/>
      <c r="L2" s="491"/>
    </row>
    <row r="5" spans="2:12" ht="15.75" thickBot="1" x14ac:dyDescent="0.3"/>
    <row r="6" spans="2:12" ht="30" customHeight="1" thickBot="1" x14ac:dyDescent="0.3">
      <c r="B6" s="492" t="s">
        <v>447</v>
      </c>
      <c r="C6" s="493"/>
      <c r="D6" s="493"/>
      <c r="E6" s="493"/>
      <c r="F6" s="493"/>
      <c r="G6" s="493"/>
      <c r="H6" s="493"/>
      <c r="I6" s="510"/>
      <c r="J6" s="510"/>
      <c r="K6" s="493"/>
      <c r="L6" s="494"/>
    </row>
    <row r="7" spans="2:12" ht="42" customHeight="1" thickBot="1" x14ac:dyDescent="0.3">
      <c r="B7" s="283" t="s">
        <v>438</v>
      </c>
      <c r="C7" s="284" t="s">
        <v>439</v>
      </c>
      <c r="D7" s="284" t="s">
        <v>448</v>
      </c>
      <c r="E7" s="284" t="s">
        <v>485</v>
      </c>
      <c r="F7" s="252" t="s">
        <v>496</v>
      </c>
      <c r="G7" s="284" t="s">
        <v>441</v>
      </c>
      <c r="H7" s="285" t="s">
        <v>158</v>
      </c>
      <c r="I7" s="286" t="s">
        <v>449</v>
      </c>
      <c r="J7" s="287" t="s">
        <v>46</v>
      </c>
      <c r="K7" s="496" t="s">
        <v>443</v>
      </c>
      <c r="L7" s="497"/>
    </row>
    <row r="8" spans="2:12" ht="15" customHeight="1" thickBot="1" x14ac:dyDescent="0.3">
      <c r="B8" s="506">
        <v>1</v>
      </c>
      <c r="C8" s="269" t="s">
        <v>450</v>
      </c>
      <c r="D8" s="270"/>
      <c r="E8" s="271"/>
      <c r="F8" s="271"/>
      <c r="G8" s="270"/>
      <c r="H8" s="272"/>
      <c r="I8" s="385"/>
      <c r="J8" s="386"/>
      <c r="K8" s="511" t="s">
        <v>444</v>
      </c>
      <c r="L8" s="512"/>
    </row>
    <row r="9" spans="2:12" ht="14.45" customHeight="1" x14ac:dyDescent="0.25">
      <c r="B9" s="517"/>
      <c r="C9" s="387" t="s">
        <v>484</v>
      </c>
      <c r="D9" s="291" t="s">
        <v>451</v>
      </c>
      <c r="E9" s="292"/>
      <c r="F9" s="292"/>
      <c r="G9" s="388"/>
      <c r="H9" s="389"/>
      <c r="I9" s="390" t="s">
        <v>451</v>
      </c>
      <c r="J9" s="391"/>
      <c r="K9" s="513"/>
      <c r="L9" s="514"/>
    </row>
    <row r="10" spans="2:12" ht="15" customHeight="1" thickBot="1" x14ac:dyDescent="0.3">
      <c r="B10" s="507"/>
      <c r="C10" s="392" t="s">
        <v>487</v>
      </c>
      <c r="D10" s="257">
        <v>10760</v>
      </c>
      <c r="E10" s="258">
        <v>95000</v>
      </c>
      <c r="F10" s="259">
        <v>4000</v>
      </c>
      <c r="G10" s="259">
        <f>E10</f>
        <v>95000</v>
      </c>
      <c r="H10" s="274">
        <f>G10/D10</f>
        <v>8.8289962825278803</v>
      </c>
      <c r="I10" s="275">
        <v>10760</v>
      </c>
      <c r="J10" s="260">
        <f>I10*H10</f>
        <v>94999.999999999985</v>
      </c>
      <c r="K10" s="515"/>
      <c r="L10" s="516"/>
    </row>
    <row r="11" spans="2:12" ht="15" customHeight="1" x14ac:dyDescent="0.25"/>
    <row r="12" spans="2:12" ht="15" customHeight="1" thickBot="1" x14ac:dyDescent="0.3"/>
    <row r="13" spans="2:12" ht="31.15" customHeight="1" thickBot="1" x14ac:dyDescent="0.3">
      <c r="B13" s="492" t="s">
        <v>520</v>
      </c>
      <c r="C13" s="493"/>
      <c r="D13" s="493"/>
      <c r="E13" s="493"/>
      <c r="F13" s="493"/>
      <c r="G13" s="493"/>
      <c r="H13" s="493"/>
      <c r="I13" s="510"/>
      <c r="J13" s="510"/>
      <c r="K13" s="493"/>
      <c r="L13" s="494"/>
    </row>
    <row r="14" spans="2:12" ht="43.9" customHeight="1" thickBot="1" x14ac:dyDescent="0.3">
      <c r="B14" s="429"/>
      <c r="C14" s="284" t="s">
        <v>439</v>
      </c>
      <c r="D14" s="284" t="s">
        <v>452</v>
      </c>
      <c r="E14" s="284" t="s">
        <v>519</v>
      </c>
      <c r="F14" s="252" t="s">
        <v>496</v>
      </c>
      <c r="G14" s="284" t="s">
        <v>441</v>
      </c>
      <c r="H14" s="285" t="s">
        <v>460</v>
      </c>
      <c r="I14" s="286" t="s">
        <v>461</v>
      </c>
      <c r="J14" s="287" t="s">
        <v>46</v>
      </c>
      <c r="K14" s="425"/>
      <c r="L14" s="426"/>
    </row>
    <row r="15" spans="2:12" ht="15.75" thickBot="1" x14ac:dyDescent="0.3">
      <c r="B15" s="517">
        <v>1</v>
      </c>
      <c r="C15" s="269" t="s">
        <v>450</v>
      </c>
      <c r="D15" s="270"/>
      <c r="E15" s="271"/>
      <c r="F15" s="271"/>
      <c r="G15" s="270"/>
      <c r="H15" s="272"/>
      <c r="I15" s="385"/>
      <c r="J15" s="386"/>
      <c r="K15" s="425"/>
      <c r="L15" s="426"/>
    </row>
    <row r="16" spans="2:12" x14ac:dyDescent="0.25">
      <c r="B16" s="517"/>
      <c r="C16" s="387" t="s">
        <v>486</v>
      </c>
      <c r="D16" s="291"/>
      <c r="E16" s="292"/>
      <c r="F16" s="292"/>
      <c r="G16" s="388"/>
      <c r="H16" s="389"/>
      <c r="I16" s="390" t="s">
        <v>452</v>
      </c>
      <c r="J16" s="391"/>
      <c r="K16" s="425"/>
      <c r="L16" s="426"/>
    </row>
    <row r="17" spans="2:15" ht="15" customHeight="1" thickBot="1" x14ac:dyDescent="0.3">
      <c r="B17" s="517"/>
      <c r="C17" s="392" t="s">
        <v>502</v>
      </c>
      <c r="D17" s="257">
        <v>4</v>
      </c>
      <c r="E17" s="258">
        <v>106000</v>
      </c>
      <c r="F17" s="259">
        <v>8000</v>
      </c>
      <c r="G17" s="259">
        <f>E17</f>
        <v>106000</v>
      </c>
      <c r="H17" s="274">
        <f>G17/2</f>
        <v>53000</v>
      </c>
      <c r="I17" s="275">
        <v>2</v>
      </c>
      <c r="J17" s="260">
        <f>I17*H17</f>
        <v>106000</v>
      </c>
      <c r="K17" s="425"/>
      <c r="L17" s="426"/>
    </row>
    <row r="18" spans="2:15" ht="15.75" x14ac:dyDescent="0.25">
      <c r="B18" s="517"/>
      <c r="C18" s="261"/>
      <c r="D18" s="262"/>
      <c r="E18" s="263"/>
      <c r="F18" s="264"/>
      <c r="G18" s="413" t="s">
        <v>505</v>
      </c>
      <c r="H18" s="414"/>
      <c r="I18" s="415"/>
      <c r="J18" s="416">
        <f>450*56</f>
        <v>25200</v>
      </c>
      <c r="K18" s="425"/>
      <c r="L18" s="426"/>
      <c r="O18" s="255"/>
    </row>
    <row r="19" spans="2:15" ht="19.5" thickBot="1" x14ac:dyDescent="0.3">
      <c r="B19" s="507"/>
      <c r="C19" s="293"/>
      <c r="D19" s="265"/>
      <c r="E19" s="266"/>
      <c r="F19" s="267"/>
      <c r="G19" s="294" t="s">
        <v>453</v>
      </c>
      <c r="H19" s="274"/>
      <c r="I19" s="268"/>
      <c r="J19" s="295">
        <f>J18+J17</f>
        <v>131200</v>
      </c>
      <c r="K19" s="427"/>
      <c r="L19" s="428"/>
    </row>
    <row r="20" spans="2:15" ht="18.75" x14ac:dyDescent="0.25">
      <c r="B20" s="296"/>
      <c r="C20" s="297"/>
      <c r="D20" s="279"/>
      <c r="E20" s="298"/>
      <c r="F20" s="280"/>
      <c r="G20" s="280"/>
      <c r="H20" s="280"/>
      <c r="I20" s="280"/>
      <c r="J20" s="280"/>
      <c r="K20" s="299"/>
      <c r="L20" s="299"/>
    </row>
    <row r="21" spans="2:15" ht="15.75" thickBot="1" x14ac:dyDescent="0.3"/>
    <row r="22" spans="2:15" ht="30" customHeight="1" thickBot="1" x14ac:dyDescent="0.3">
      <c r="B22" s="492" t="s">
        <v>437</v>
      </c>
      <c r="C22" s="493"/>
      <c r="D22" s="493"/>
      <c r="E22" s="493"/>
      <c r="F22" s="493"/>
      <c r="G22" s="493"/>
      <c r="H22" s="493"/>
      <c r="I22" s="493"/>
      <c r="J22" s="493"/>
      <c r="K22" s="493"/>
      <c r="L22" s="494"/>
    </row>
    <row r="23" spans="2:15" ht="42" customHeight="1" thickBot="1" x14ac:dyDescent="0.3">
      <c r="B23" s="359" t="s">
        <v>438</v>
      </c>
      <c r="C23" s="286" t="s">
        <v>439</v>
      </c>
      <c r="D23" s="284" t="s">
        <v>440</v>
      </c>
      <c r="E23" s="252" t="s">
        <v>499</v>
      </c>
      <c r="F23" s="252" t="s">
        <v>496</v>
      </c>
      <c r="G23" s="284" t="s">
        <v>441</v>
      </c>
      <c r="H23" s="287" t="s">
        <v>158</v>
      </c>
      <c r="I23" s="286" t="s">
        <v>442</v>
      </c>
      <c r="J23" s="287" t="s">
        <v>46</v>
      </c>
      <c r="K23" s="522" t="s">
        <v>443</v>
      </c>
      <c r="L23" s="512"/>
    </row>
    <row r="24" spans="2:15" ht="15.75" thickBot="1" x14ac:dyDescent="0.3">
      <c r="B24" s="506">
        <v>1</v>
      </c>
      <c r="C24" s="360" t="s">
        <v>446</v>
      </c>
      <c r="D24" s="321"/>
      <c r="E24" s="322"/>
      <c r="F24" s="322"/>
      <c r="G24" s="321"/>
      <c r="H24" s="361"/>
      <c r="I24" s="362"/>
      <c r="J24" s="323"/>
      <c r="K24" s="518"/>
      <c r="L24" s="519"/>
    </row>
    <row r="25" spans="2:15" ht="45.75" thickBot="1" x14ac:dyDescent="0.3">
      <c r="B25" s="507"/>
      <c r="C25" s="393" t="s">
        <v>491</v>
      </c>
      <c r="D25" s="363">
        <v>210</v>
      </c>
      <c r="E25" s="364">
        <v>37500</v>
      </c>
      <c r="F25" s="365">
        <v>4500</v>
      </c>
      <c r="G25" s="365">
        <f>E25</f>
        <v>37500</v>
      </c>
      <c r="H25" s="366">
        <f>G25/D25</f>
        <v>178.57142857142858</v>
      </c>
      <c r="I25" s="367">
        <v>210</v>
      </c>
      <c r="J25" s="368">
        <f>I25*H25</f>
        <v>37500</v>
      </c>
      <c r="K25" s="520" t="s">
        <v>459</v>
      </c>
      <c r="L25" s="521"/>
    </row>
    <row r="27" spans="2:15" ht="15.75" thickBot="1" x14ac:dyDescent="0.3"/>
    <row r="28" spans="2:15" ht="30" customHeight="1" thickBot="1" x14ac:dyDescent="0.3">
      <c r="B28" s="492" t="s">
        <v>489</v>
      </c>
      <c r="C28" s="493"/>
      <c r="D28" s="493"/>
      <c r="E28" s="493"/>
      <c r="F28" s="493"/>
      <c r="G28" s="493"/>
      <c r="H28" s="493"/>
      <c r="I28" s="493"/>
      <c r="J28" s="493"/>
      <c r="K28" s="493"/>
      <c r="L28" s="494"/>
    </row>
    <row r="29" spans="2:15" ht="42" customHeight="1" thickBot="1" x14ac:dyDescent="0.3">
      <c r="B29" s="283" t="s">
        <v>438</v>
      </c>
      <c r="C29" s="284" t="s">
        <v>439</v>
      </c>
      <c r="D29" s="284" t="s">
        <v>454</v>
      </c>
      <c r="E29" s="252" t="s">
        <v>490</v>
      </c>
      <c r="F29" s="252" t="s">
        <v>496</v>
      </c>
      <c r="G29" s="284" t="s">
        <v>441</v>
      </c>
      <c r="H29" s="285" t="s">
        <v>460</v>
      </c>
      <c r="I29" s="251" t="s">
        <v>461</v>
      </c>
      <c r="J29" s="252" t="s">
        <v>46</v>
      </c>
      <c r="K29" s="495" t="s">
        <v>443</v>
      </c>
      <c r="L29" s="497"/>
    </row>
    <row r="30" spans="2:15" x14ac:dyDescent="0.25">
      <c r="B30" s="506">
        <v>1</v>
      </c>
      <c r="C30" s="269" t="s">
        <v>446</v>
      </c>
      <c r="D30" s="288"/>
      <c r="E30" s="289"/>
      <c r="F30" s="289"/>
      <c r="G30" s="288"/>
      <c r="H30" s="290"/>
      <c r="I30" s="273"/>
      <c r="J30" s="288"/>
      <c r="K30" s="508"/>
      <c r="L30" s="509"/>
    </row>
    <row r="31" spans="2:15" ht="15.75" thickBot="1" x14ac:dyDescent="0.3">
      <c r="B31" s="507"/>
      <c r="C31" s="256" t="s">
        <v>488</v>
      </c>
      <c r="D31" s="257">
        <v>1</v>
      </c>
      <c r="E31" s="258">
        <v>34500</v>
      </c>
      <c r="F31" s="259">
        <v>1200</v>
      </c>
      <c r="G31" s="259">
        <f>E31</f>
        <v>34500</v>
      </c>
      <c r="H31" s="274">
        <f>G31/7</f>
        <v>4928.5714285714284</v>
      </c>
      <c r="I31" s="275">
        <v>6</v>
      </c>
      <c r="J31" s="259">
        <f>I31*H31</f>
        <v>29571.428571428572</v>
      </c>
      <c r="K31" s="504" t="s">
        <v>444</v>
      </c>
      <c r="L31" s="505"/>
    </row>
    <row r="32" spans="2:15" x14ac:dyDescent="0.25">
      <c r="B32" s="277"/>
      <c r="C32" s="278"/>
      <c r="D32" s="279"/>
      <c r="E32" s="280"/>
      <c r="F32" s="281"/>
      <c r="G32" s="279"/>
      <c r="H32" s="280"/>
      <c r="I32" s="282"/>
      <c r="J32" s="282"/>
      <c r="K32" s="282"/>
      <c r="L32" s="282"/>
    </row>
    <row r="33" spans="1:14" ht="15.75" thickBot="1" x14ac:dyDescent="0.3">
      <c r="B33" s="277"/>
      <c r="C33" s="278"/>
      <c r="D33" s="279"/>
      <c r="E33" s="280"/>
      <c r="F33" s="281"/>
      <c r="G33" s="279"/>
      <c r="H33" s="280"/>
      <c r="I33" s="282"/>
      <c r="J33" s="282"/>
      <c r="K33" s="282"/>
      <c r="L33" s="282"/>
    </row>
    <row r="34" spans="1:14" ht="29.45" customHeight="1" thickBot="1" x14ac:dyDescent="0.3">
      <c r="B34" s="492" t="s">
        <v>506</v>
      </c>
      <c r="C34" s="493"/>
      <c r="D34" s="493"/>
      <c r="E34" s="493"/>
      <c r="F34" s="493"/>
      <c r="G34" s="493"/>
      <c r="H34" s="493"/>
      <c r="I34" s="493"/>
      <c r="J34" s="493"/>
      <c r="K34" s="493"/>
      <c r="L34" s="494"/>
    </row>
    <row r="35" spans="1:14" ht="39" thickBot="1" x14ac:dyDescent="0.3">
      <c r="B35" s="283" t="s">
        <v>438</v>
      </c>
      <c r="C35" s="284" t="s">
        <v>439</v>
      </c>
      <c r="D35" s="284" t="s">
        <v>454</v>
      </c>
      <c r="E35" s="252" t="s">
        <v>490</v>
      </c>
      <c r="F35" s="252" t="s">
        <v>496</v>
      </c>
      <c r="G35" s="284" t="s">
        <v>441</v>
      </c>
      <c r="H35" s="285" t="s">
        <v>460</v>
      </c>
      <c r="I35" s="251" t="s">
        <v>461</v>
      </c>
      <c r="J35" s="252" t="s">
        <v>46</v>
      </c>
      <c r="K35" s="495" t="s">
        <v>443</v>
      </c>
      <c r="L35" s="497"/>
    </row>
    <row r="36" spans="1:14" x14ac:dyDescent="0.25">
      <c r="B36" s="506">
        <v>1</v>
      </c>
      <c r="C36" s="269" t="s">
        <v>446</v>
      </c>
      <c r="D36" s="288"/>
      <c r="E36" s="289"/>
      <c r="F36" s="289"/>
      <c r="G36" s="288"/>
      <c r="H36" s="290"/>
      <c r="I36" s="273"/>
      <c r="J36" s="288"/>
      <c r="K36" s="508"/>
      <c r="L36" s="509"/>
    </row>
    <row r="37" spans="1:14" ht="15.75" thickBot="1" x14ac:dyDescent="0.3">
      <c r="B37" s="507"/>
      <c r="C37" s="256" t="s">
        <v>507</v>
      </c>
      <c r="D37" s="257">
        <v>1</v>
      </c>
      <c r="E37" s="258">
        <v>45500</v>
      </c>
      <c r="F37" s="259">
        <v>1750</v>
      </c>
      <c r="G37" s="259">
        <f>E37</f>
        <v>45500</v>
      </c>
      <c r="H37" s="274">
        <f>G37/7</f>
        <v>6500</v>
      </c>
      <c r="I37" s="275">
        <v>2</v>
      </c>
      <c r="J37" s="259">
        <f>I37*H37</f>
        <v>13000</v>
      </c>
      <c r="K37" s="504" t="s">
        <v>444</v>
      </c>
      <c r="L37" s="505"/>
    </row>
    <row r="38" spans="1:14" x14ac:dyDescent="0.25">
      <c r="A38" s="420"/>
      <c r="B38" s="421"/>
      <c r="C38" s="422"/>
      <c r="D38" s="423"/>
      <c r="E38" s="298"/>
      <c r="F38" s="280"/>
      <c r="G38" s="280"/>
      <c r="H38" s="280"/>
      <c r="I38" s="424"/>
      <c r="J38" s="280"/>
      <c r="K38" s="419"/>
      <c r="L38" s="419"/>
    </row>
    <row r="39" spans="1:14" ht="15.75" thickBot="1" x14ac:dyDescent="0.3">
      <c r="A39" s="420"/>
      <c r="B39" s="421"/>
      <c r="C39" s="422"/>
      <c r="D39" s="423"/>
      <c r="E39" s="298"/>
      <c r="F39" s="280"/>
      <c r="G39" s="280"/>
      <c r="H39" s="280"/>
      <c r="I39" s="424"/>
      <c r="J39" s="280"/>
      <c r="K39" s="419"/>
      <c r="L39" s="419"/>
    </row>
    <row r="40" spans="1:14" ht="24.75" customHeight="1" thickBot="1" x14ac:dyDescent="0.3">
      <c r="B40" s="492" t="s">
        <v>366</v>
      </c>
      <c r="C40" s="493"/>
      <c r="D40" s="493"/>
      <c r="E40" s="493"/>
      <c r="F40" s="493"/>
      <c r="G40" s="493"/>
      <c r="H40" s="493"/>
      <c r="I40" s="494"/>
    </row>
    <row r="41" spans="1:14" ht="29.25" thickBot="1" x14ac:dyDescent="0.3">
      <c r="B41" s="300" t="s">
        <v>438</v>
      </c>
      <c r="C41" s="252" t="s">
        <v>439</v>
      </c>
      <c r="D41" s="252" t="s">
        <v>441</v>
      </c>
      <c r="E41" s="495" t="s">
        <v>443</v>
      </c>
      <c r="F41" s="496"/>
      <c r="G41" s="496"/>
      <c r="H41" s="496"/>
      <c r="I41" s="497"/>
    </row>
    <row r="42" spans="1:14" ht="179.25" customHeight="1" x14ac:dyDescent="0.25">
      <c r="B42" s="310">
        <v>1</v>
      </c>
      <c r="C42" s="303" t="s">
        <v>522</v>
      </c>
      <c r="D42" s="311">
        <v>29800</v>
      </c>
      <c r="E42" s="498" t="s">
        <v>523</v>
      </c>
      <c r="F42" s="499"/>
      <c r="G42" s="499"/>
      <c r="H42" s="499"/>
      <c r="I42" s="500"/>
      <c r="K42" s="255"/>
      <c r="N42" s="255"/>
    </row>
    <row r="43" spans="1:14" x14ac:dyDescent="0.25">
      <c r="B43" s="306"/>
      <c r="C43" s="305"/>
      <c r="D43" s="254"/>
      <c r="E43" s="501"/>
      <c r="F43" s="502"/>
      <c r="G43" s="502"/>
      <c r="H43" s="502"/>
      <c r="I43" s="503"/>
      <c r="N43" s="255"/>
    </row>
    <row r="44" spans="1:14" x14ac:dyDescent="0.25">
      <c r="B44" s="306"/>
      <c r="C44" s="305"/>
      <c r="D44" s="357"/>
      <c r="E44" s="501"/>
      <c r="F44" s="502"/>
      <c r="G44" s="502"/>
      <c r="H44" s="502"/>
      <c r="I44" s="503"/>
      <c r="N44" s="255"/>
    </row>
    <row r="45" spans="1:14" ht="15.75" thickBot="1" x14ac:dyDescent="0.3">
      <c r="B45" s="307"/>
      <c r="C45" s="308"/>
      <c r="D45" s="259"/>
      <c r="E45" s="259"/>
      <c r="F45" s="276"/>
      <c r="G45" s="276"/>
      <c r="H45" s="276"/>
      <c r="I45" s="309"/>
      <c r="N45" s="255"/>
    </row>
    <row r="46" spans="1:14" x14ac:dyDescent="0.25">
      <c r="B46" s="279"/>
      <c r="C46" s="358"/>
      <c r="D46" s="280"/>
      <c r="E46" s="280"/>
      <c r="F46" s="301"/>
      <c r="G46" s="301"/>
      <c r="H46" s="301"/>
      <c r="I46" s="301"/>
      <c r="N46" s="255"/>
    </row>
    <row r="47" spans="1:14" ht="15.75" thickBot="1" x14ac:dyDescent="0.3">
      <c r="N47" s="255"/>
    </row>
    <row r="48" spans="1:14" ht="24.75" customHeight="1" thickBot="1" x14ac:dyDescent="0.3">
      <c r="B48" s="492" t="s">
        <v>481</v>
      </c>
      <c r="C48" s="493"/>
      <c r="D48" s="493"/>
      <c r="E48" s="493"/>
      <c r="F48" s="493"/>
      <c r="G48" s="493"/>
      <c r="H48" s="493"/>
      <c r="I48" s="494"/>
      <c r="N48" s="255"/>
    </row>
    <row r="49" spans="2:14" ht="29.25" thickBot="1" x14ac:dyDescent="0.3">
      <c r="B49" s="300" t="s">
        <v>438</v>
      </c>
      <c r="C49" s="252" t="s">
        <v>439</v>
      </c>
      <c r="D49" s="252" t="s">
        <v>441</v>
      </c>
      <c r="E49" s="495" t="s">
        <v>443</v>
      </c>
      <c r="F49" s="496"/>
      <c r="G49" s="496"/>
      <c r="H49" s="496"/>
      <c r="I49" s="497"/>
      <c r="N49" s="255"/>
    </row>
    <row r="50" spans="2:14" ht="15.75" customHeight="1" x14ac:dyDescent="0.25">
      <c r="B50" s="310"/>
      <c r="C50" s="303"/>
      <c r="D50" s="311"/>
      <c r="E50" s="523"/>
      <c r="F50" s="524"/>
      <c r="G50" s="524"/>
      <c r="H50" s="524"/>
      <c r="I50" s="525"/>
      <c r="K50" s="255"/>
      <c r="N50" s="255"/>
    </row>
    <row r="51" spans="2:14" x14ac:dyDescent="0.25">
      <c r="B51" s="304"/>
      <c r="C51" s="305"/>
      <c r="D51" s="254"/>
      <c r="E51" s="501"/>
      <c r="F51" s="502"/>
      <c r="G51" s="502"/>
      <c r="H51" s="502"/>
      <c r="I51" s="503"/>
      <c r="N51" s="255"/>
    </row>
    <row r="52" spans="2:14" x14ac:dyDescent="0.25">
      <c r="B52" s="306"/>
      <c r="C52" s="305"/>
      <c r="D52" s="254"/>
      <c r="E52" s="501"/>
      <c r="F52" s="502"/>
      <c r="G52" s="502"/>
      <c r="H52" s="502"/>
      <c r="I52" s="503"/>
      <c r="N52" s="255"/>
    </row>
    <row r="53" spans="2:14" ht="15.75" thickBot="1" x14ac:dyDescent="0.3">
      <c r="B53" s="307"/>
      <c r="C53" s="308"/>
      <c r="D53" s="259"/>
      <c r="E53" s="259"/>
      <c r="F53" s="276"/>
      <c r="G53" s="276"/>
      <c r="H53" s="276"/>
      <c r="I53" s="309"/>
    </row>
    <row r="55" spans="2:14" ht="15.75" thickBot="1" x14ac:dyDescent="0.3"/>
    <row r="56" spans="2:14" ht="24.75" customHeight="1" thickBot="1" x14ac:dyDescent="0.3">
      <c r="B56" s="492" t="s">
        <v>482</v>
      </c>
      <c r="C56" s="493"/>
      <c r="D56" s="493"/>
      <c r="E56" s="493"/>
      <c r="F56" s="493"/>
      <c r="G56" s="493"/>
      <c r="H56" s="493"/>
      <c r="I56" s="494"/>
    </row>
    <row r="57" spans="2:14" ht="29.25" thickBot="1" x14ac:dyDescent="0.3">
      <c r="B57" s="300" t="s">
        <v>438</v>
      </c>
      <c r="C57" s="252" t="s">
        <v>439</v>
      </c>
      <c r="D57" s="252" t="s">
        <v>441</v>
      </c>
      <c r="E57" s="495" t="s">
        <v>443</v>
      </c>
      <c r="F57" s="496"/>
      <c r="G57" s="496"/>
      <c r="H57" s="496"/>
      <c r="I57" s="497"/>
    </row>
    <row r="58" spans="2:14" ht="15.75" customHeight="1" x14ac:dyDescent="0.25">
      <c r="B58" s="310"/>
      <c r="C58" s="303"/>
      <c r="D58" s="311"/>
      <c r="E58" s="523"/>
      <c r="F58" s="524"/>
      <c r="G58" s="524"/>
      <c r="H58" s="524"/>
      <c r="I58" s="525"/>
    </row>
    <row r="59" spans="2:14" x14ac:dyDescent="0.25">
      <c r="B59" s="304"/>
      <c r="C59" s="305"/>
      <c r="D59" s="254"/>
      <c r="E59" s="501"/>
      <c r="F59" s="502"/>
      <c r="G59" s="502"/>
      <c r="H59" s="502"/>
      <c r="I59" s="503"/>
    </row>
    <row r="60" spans="2:14" x14ac:dyDescent="0.25">
      <c r="B60" s="306"/>
      <c r="C60" s="305"/>
      <c r="D60" s="254"/>
      <c r="E60" s="501"/>
      <c r="F60" s="502"/>
      <c r="G60" s="502"/>
      <c r="H60" s="502"/>
      <c r="I60" s="503"/>
    </row>
    <row r="61" spans="2:14" ht="15.75" thickBot="1" x14ac:dyDescent="0.3">
      <c r="B61" s="307"/>
      <c r="C61" s="308"/>
      <c r="D61" s="259"/>
      <c r="E61" s="259"/>
      <c r="F61" s="276"/>
      <c r="G61" s="276"/>
      <c r="H61" s="276"/>
      <c r="I61" s="309"/>
    </row>
    <row r="67" spans="1:49" ht="15.75" x14ac:dyDescent="0.25">
      <c r="M67" s="369" t="s">
        <v>455</v>
      </c>
      <c r="N67" s="370">
        <f>SUM(N1:N64)</f>
        <v>0</v>
      </c>
    </row>
    <row r="68" spans="1:49" ht="17.25" customHeight="1" x14ac:dyDescent="0.25">
      <c r="A68" s="325"/>
      <c r="B68" s="326"/>
      <c r="C68" s="327"/>
      <c r="D68" s="328"/>
      <c r="E68" s="329"/>
      <c r="F68" s="329"/>
      <c r="G68" s="302"/>
      <c r="H68" s="329"/>
      <c r="I68" s="330"/>
      <c r="J68" s="330"/>
      <c r="K68" s="330"/>
      <c r="M68" s="325"/>
      <c r="N68" s="325"/>
      <c r="O68" s="325"/>
      <c r="P68" s="325"/>
      <c r="Q68" s="331"/>
      <c r="R68" s="325"/>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row>
    <row r="69" spans="1:49" x14ac:dyDescent="0.25">
      <c r="A69" s="325"/>
      <c r="B69" s="326"/>
      <c r="C69" s="327"/>
      <c r="D69" s="328"/>
      <c r="E69" s="332"/>
      <c r="F69" s="329"/>
      <c r="G69" s="302"/>
      <c r="H69" s="329"/>
      <c r="I69" s="330"/>
      <c r="J69" s="330"/>
      <c r="K69" s="330"/>
      <c r="L69" s="333"/>
      <c r="M69" s="325"/>
      <c r="N69" s="325"/>
      <c r="O69" s="325"/>
      <c r="P69" s="325"/>
      <c r="Q69" s="331"/>
      <c r="R69" s="325"/>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row>
    <row r="70" spans="1:49" ht="17.25" customHeight="1" x14ac:dyDescent="0.25">
      <c r="A70" s="325"/>
      <c r="B70" s="326"/>
      <c r="C70" s="327"/>
      <c r="D70" s="328"/>
      <c r="E70" s="334"/>
      <c r="F70" s="334"/>
      <c r="G70" s="302"/>
      <c r="H70" s="334"/>
      <c r="I70" s="330"/>
      <c r="J70" s="330"/>
      <c r="K70" s="330"/>
      <c r="L70" s="335"/>
      <c r="M70" s="325"/>
      <c r="N70" s="325"/>
      <c r="O70" s="325"/>
      <c r="P70" s="325"/>
      <c r="Q70" s="336"/>
      <c r="R70" s="325"/>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row>
    <row r="71" spans="1:49" x14ac:dyDescent="0.25">
      <c r="A71" s="325"/>
      <c r="B71" s="326"/>
      <c r="C71" s="327"/>
      <c r="D71" s="328"/>
      <c r="E71" s="337"/>
      <c r="F71" s="334"/>
      <c r="G71" s="302"/>
      <c r="H71" s="334"/>
      <c r="I71" s="330"/>
      <c r="J71" s="330"/>
      <c r="K71" s="330"/>
      <c r="L71" s="335"/>
      <c r="M71" s="325"/>
      <c r="N71" s="325"/>
      <c r="O71" s="325"/>
      <c r="P71" s="325"/>
      <c r="Q71" s="336"/>
      <c r="R71" s="325"/>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row>
    <row r="72" spans="1:49" ht="37.5" customHeight="1" thickBot="1" x14ac:dyDescent="0.3">
      <c r="A72" s="325"/>
      <c r="B72" s="573" t="s">
        <v>456</v>
      </c>
      <c r="C72" s="574"/>
      <c r="D72" s="574"/>
      <c r="E72" s="574"/>
      <c r="F72" s="574"/>
      <c r="G72" s="574"/>
      <c r="H72" s="574"/>
      <c r="I72" s="574"/>
      <c r="J72" s="574"/>
      <c r="K72" s="574"/>
      <c r="L72" s="575"/>
      <c r="M72" s="325"/>
      <c r="N72" s="325"/>
      <c r="O72" s="325"/>
      <c r="P72" s="325"/>
      <c r="Q72" s="336"/>
      <c r="R72" s="325"/>
      <c r="S72" s="336"/>
      <c r="T72" s="336"/>
      <c r="U72" s="336"/>
      <c r="V72" s="336"/>
      <c r="W72" s="336"/>
      <c r="X72" s="336"/>
      <c r="Y72" s="336"/>
      <c r="Z72" s="336"/>
      <c r="AA72" s="336"/>
      <c r="AB72" s="336"/>
      <c r="AC72" s="336"/>
      <c r="AD72" s="336"/>
      <c r="AE72" s="336"/>
      <c r="AF72" s="336"/>
      <c r="AG72" s="336"/>
      <c r="AH72" s="336"/>
      <c r="AI72" s="336"/>
      <c r="AJ72" s="336"/>
      <c r="AK72" s="336"/>
      <c r="AL72" s="336"/>
      <c r="AM72" s="336"/>
      <c r="AN72" s="336"/>
      <c r="AO72" s="336"/>
      <c r="AP72" s="336"/>
      <c r="AQ72" s="336"/>
      <c r="AR72" s="336"/>
      <c r="AS72" s="336"/>
      <c r="AT72" s="336"/>
      <c r="AU72" s="336"/>
      <c r="AV72" s="336"/>
      <c r="AW72" s="336"/>
    </row>
    <row r="73" spans="1:49" ht="20.25" x14ac:dyDescent="0.25">
      <c r="A73" s="325"/>
      <c r="B73" s="338"/>
      <c r="C73" s="338"/>
      <c r="D73" s="338"/>
      <c r="E73" s="338"/>
      <c r="F73" s="338"/>
      <c r="G73" s="338"/>
      <c r="H73" s="338"/>
      <c r="I73" s="338"/>
      <c r="J73" s="338"/>
      <c r="K73" s="338"/>
      <c r="L73" s="338"/>
      <c r="M73" s="325"/>
      <c r="N73" s="325"/>
      <c r="O73" s="325"/>
      <c r="P73" s="325"/>
      <c r="Q73" s="339"/>
      <c r="R73" s="325"/>
      <c r="S73" s="339"/>
      <c r="T73" s="339"/>
      <c r="U73" s="339"/>
      <c r="V73" s="339"/>
      <c r="W73" s="339"/>
      <c r="X73" s="339"/>
      <c r="Y73" s="339"/>
      <c r="Z73" s="339"/>
      <c r="AA73" s="339"/>
      <c r="AB73" s="339"/>
      <c r="AC73" s="339"/>
      <c r="AD73" s="339"/>
      <c r="AE73" s="339"/>
      <c r="AF73" s="339"/>
      <c r="AG73" s="339"/>
      <c r="AH73" s="339"/>
      <c r="AI73" s="339"/>
      <c r="AJ73" s="339"/>
      <c r="AK73" s="339"/>
      <c r="AL73" s="339"/>
      <c r="AM73" s="339"/>
      <c r="AN73" s="339"/>
      <c r="AO73" s="339"/>
      <c r="AP73" s="339"/>
      <c r="AQ73" s="339"/>
      <c r="AR73" s="339"/>
      <c r="AS73" s="339"/>
      <c r="AT73" s="339"/>
      <c r="AU73" s="339"/>
      <c r="AV73" s="339"/>
      <c r="AW73" s="339"/>
    </row>
    <row r="74" spans="1:49" ht="15.75" thickBot="1" x14ac:dyDescent="0.3"/>
    <row r="75" spans="1:49" ht="34.5" customHeight="1" thickBot="1" x14ac:dyDescent="0.3">
      <c r="A75" s="325"/>
      <c r="B75" s="554" t="s">
        <v>462</v>
      </c>
      <c r="C75" s="555"/>
      <c r="D75" s="555"/>
      <c r="E75" s="555"/>
      <c r="F75" s="555"/>
      <c r="G75" s="555"/>
      <c r="H75" s="555"/>
      <c r="I75" s="555"/>
      <c r="J75" s="556"/>
      <c r="L75" s="340"/>
      <c r="M75" s="325"/>
      <c r="N75" s="325"/>
      <c r="O75" s="325"/>
      <c r="P75" s="325"/>
      <c r="Q75" s="336"/>
      <c r="R75" s="325"/>
      <c r="S75" s="325"/>
      <c r="T75" s="325"/>
      <c r="U75" s="325"/>
      <c r="V75" s="325"/>
      <c r="W75" s="325"/>
      <c r="X75" s="325"/>
      <c r="Y75" s="325"/>
      <c r="Z75" s="325"/>
      <c r="AA75" s="325"/>
      <c r="AB75" s="325"/>
      <c r="AC75" s="325"/>
      <c r="AD75" s="325"/>
      <c r="AE75" s="325"/>
      <c r="AF75" s="325"/>
      <c r="AG75" s="325"/>
      <c r="AH75" s="325"/>
      <c r="AI75" s="325"/>
      <c r="AJ75" s="325"/>
      <c r="AK75" s="325"/>
      <c r="AL75" s="325"/>
      <c r="AM75" s="325"/>
      <c r="AN75" s="325"/>
      <c r="AO75" s="325"/>
      <c r="AP75" s="325"/>
      <c r="AQ75" s="325"/>
      <c r="AR75" s="325"/>
      <c r="AS75" s="325"/>
      <c r="AT75" s="325"/>
      <c r="AU75" s="325"/>
      <c r="AV75" s="325"/>
      <c r="AW75" s="325"/>
    </row>
    <row r="76" spans="1:49" ht="42.75" customHeight="1" thickBot="1" x14ac:dyDescent="0.3">
      <c r="A76" s="325"/>
      <c r="B76" s="300" t="s">
        <v>438</v>
      </c>
      <c r="C76" s="252" t="s">
        <v>439</v>
      </c>
      <c r="D76" s="252" t="s">
        <v>454</v>
      </c>
      <c r="E76" s="252" t="s">
        <v>441</v>
      </c>
      <c r="F76" s="495" t="s">
        <v>443</v>
      </c>
      <c r="G76" s="496"/>
      <c r="H76" s="496"/>
      <c r="I76" s="496"/>
      <c r="J76" s="497"/>
      <c r="L76" s="325"/>
      <c r="M76" s="325"/>
      <c r="N76" s="325"/>
      <c r="O76" s="325"/>
      <c r="P76" s="336"/>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c r="AN76" s="325"/>
      <c r="AO76" s="325"/>
      <c r="AP76" s="325"/>
      <c r="AQ76" s="325"/>
      <c r="AR76" s="325"/>
      <c r="AS76" s="325"/>
      <c r="AT76" s="325"/>
      <c r="AU76" s="325"/>
      <c r="AV76" s="325"/>
    </row>
    <row r="77" spans="1:49" x14ac:dyDescent="0.25">
      <c r="A77" s="325"/>
      <c r="B77" s="544">
        <v>1</v>
      </c>
      <c r="C77" s="312" t="s">
        <v>463</v>
      </c>
      <c r="D77" s="313"/>
      <c r="E77" s="314"/>
      <c r="F77" s="483" t="s">
        <v>464</v>
      </c>
      <c r="G77" s="484"/>
      <c r="H77" s="484"/>
      <c r="I77" s="484"/>
      <c r="J77" s="485"/>
      <c r="L77" s="325"/>
      <c r="M77" s="325"/>
      <c r="N77" s="325"/>
      <c r="O77" s="325"/>
      <c r="P77" s="336"/>
      <c r="Q77" s="325"/>
      <c r="R77" s="325"/>
      <c r="S77" s="325"/>
      <c r="T77" s="325"/>
      <c r="U77" s="325"/>
      <c r="V77" s="325"/>
      <c r="W77" s="325"/>
      <c r="X77" s="325"/>
      <c r="Y77" s="325"/>
      <c r="Z77" s="325"/>
      <c r="AA77" s="325"/>
      <c r="AB77" s="325"/>
      <c r="AC77" s="325"/>
      <c r="AD77" s="325"/>
      <c r="AE77" s="325"/>
      <c r="AF77" s="325"/>
      <c r="AG77" s="325"/>
      <c r="AH77" s="325"/>
      <c r="AI77" s="325"/>
      <c r="AJ77" s="325"/>
      <c r="AK77" s="325"/>
      <c r="AL77" s="325"/>
      <c r="AM77" s="325"/>
      <c r="AN77" s="325"/>
      <c r="AO77" s="325"/>
      <c r="AP77" s="325"/>
      <c r="AQ77" s="325"/>
      <c r="AR77" s="325"/>
      <c r="AS77" s="325"/>
      <c r="AT77" s="325"/>
      <c r="AU77" s="325"/>
      <c r="AV77" s="325"/>
    </row>
    <row r="78" spans="1:49" ht="41.25" customHeight="1" thickBot="1" x14ac:dyDescent="0.3">
      <c r="A78" s="325"/>
      <c r="B78" s="559"/>
      <c r="C78" s="371" t="s">
        <v>465</v>
      </c>
      <c r="D78" s="346">
        <v>2</v>
      </c>
      <c r="E78" s="316">
        <v>22770</v>
      </c>
      <c r="F78" s="486"/>
      <c r="G78" s="487"/>
      <c r="H78" s="487"/>
      <c r="I78" s="487"/>
      <c r="J78" s="488"/>
      <c r="L78" s="325"/>
      <c r="M78" s="325"/>
      <c r="N78" s="325"/>
      <c r="O78" s="325"/>
      <c r="P78" s="336"/>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25"/>
      <c r="AN78" s="325"/>
      <c r="AO78" s="325"/>
      <c r="AP78" s="325"/>
      <c r="AQ78" s="325"/>
      <c r="AR78" s="325"/>
      <c r="AS78" s="325"/>
      <c r="AT78" s="325"/>
      <c r="AU78" s="325"/>
      <c r="AV78" s="325"/>
    </row>
    <row r="79" spans="1:49" ht="15.75" thickBot="1" x14ac:dyDescent="0.3">
      <c r="A79" s="325"/>
      <c r="B79" s="317"/>
      <c r="C79" s="318"/>
      <c r="D79" s="319"/>
      <c r="E79" s="320"/>
      <c r="F79" s="557"/>
      <c r="G79" s="557"/>
      <c r="H79" s="557"/>
      <c r="I79" s="557"/>
      <c r="J79" s="558"/>
      <c r="K79" s="340"/>
      <c r="L79" s="325"/>
      <c r="M79" s="325"/>
      <c r="N79" s="325"/>
      <c r="O79" s="325"/>
      <c r="P79" s="336"/>
      <c r="Q79" s="325"/>
      <c r="R79" s="325"/>
      <c r="S79" s="325"/>
      <c r="T79" s="325"/>
      <c r="U79" s="325"/>
      <c r="V79" s="325"/>
      <c r="W79" s="325"/>
      <c r="X79" s="325"/>
      <c r="Y79" s="325"/>
      <c r="Z79" s="325"/>
      <c r="AA79" s="325"/>
      <c r="AB79" s="325"/>
      <c r="AC79" s="325"/>
      <c r="AD79" s="325"/>
      <c r="AE79" s="325"/>
      <c r="AF79" s="325"/>
      <c r="AG79" s="325"/>
      <c r="AH79" s="325"/>
      <c r="AI79" s="325"/>
      <c r="AJ79" s="325"/>
      <c r="AK79" s="325"/>
      <c r="AL79" s="325"/>
      <c r="AM79" s="325"/>
      <c r="AN79" s="325"/>
      <c r="AO79" s="325"/>
      <c r="AP79" s="325"/>
      <c r="AQ79" s="325"/>
      <c r="AR79" s="325"/>
      <c r="AS79" s="325"/>
      <c r="AT79" s="325"/>
      <c r="AU79" s="325"/>
      <c r="AV79" s="325"/>
    </row>
    <row r="81" spans="1:49" ht="15.75" thickBot="1" x14ac:dyDescent="0.3"/>
    <row r="82" spans="1:49" ht="34.5" customHeight="1" thickBot="1" x14ac:dyDescent="0.3">
      <c r="A82" s="325"/>
      <c r="B82" s="526" t="s">
        <v>458</v>
      </c>
      <c r="C82" s="527"/>
      <c r="D82" s="527"/>
      <c r="E82" s="527"/>
      <c r="F82" s="527"/>
      <c r="G82" s="527"/>
      <c r="H82" s="527"/>
      <c r="I82" s="527"/>
      <c r="J82" s="527"/>
      <c r="K82" s="531"/>
      <c r="L82" s="340"/>
      <c r="M82" s="325"/>
      <c r="N82" s="325"/>
      <c r="O82" s="325"/>
      <c r="P82" s="325"/>
      <c r="Q82" s="336"/>
      <c r="R82" s="325"/>
      <c r="S82" s="325"/>
      <c r="T82" s="325"/>
      <c r="U82" s="325"/>
      <c r="V82" s="325"/>
      <c r="W82" s="325"/>
      <c r="X82" s="325"/>
      <c r="Y82" s="325"/>
      <c r="Z82" s="325"/>
      <c r="AA82" s="325"/>
      <c r="AB82" s="325"/>
      <c r="AC82" s="325"/>
      <c r="AD82" s="325"/>
      <c r="AE82" s="325"/>
      <c r="AF82" s="325"/>
      <c r="AG82" s="325"/>
      <c r="AH82" s="325"/>
      <c r="AI82" s="325"/>
      <c r="AJ82" s="325"/>
      <c r="AK82" s="325"/>
      <c r="AL82" s="325"/>
      <c r="AM82" s="325"/>
      <c r="AN82" s="325"/>
      <c r="AO82" s="325"/>
      <c r="AP82" s="325"/>
      <c r="AQ82" s="325"/>
      <c r="AR82" s="325"/>
      <c r="AS82" s="325"/>
      <c r="AT82" s="325"/>
      <c r="AU82" s="325"/>
      <c r="AV82" s="325"/>
      <c r="AW82" s="325"/>
    </row>
    <row r="83" spans="1:49" ht="42.75" customHeight="1" thickBot="1" x14ac:dyDescent="0.3">
      <c r="A83" s="325"/>
      <c r="B83" s="300" t="s">
        <v>438</v>
      </c>
      <c r="C83" s="252" t="s">
        <v>439</v>
      </c>
      <c r="D83" s="252" t="s">
        <v>440</v>
      </c>
      <c r="E83" s="252" t="s">
        <v>441</v>
      </c>
      <c r="F83" s="252" t="s">
        <v>158</v>
      </c>
      <c r="G83" s="495" t="s">
        <v>443</v>
      </c>
      <c r="H83" s="496"/>
      <c r="I83" s="496"/>
      <c r="J83" s="496"/>
      <c r="K83" s="497"/>
      <c r="L83" s="340"/>
      <c r="M83" s="325"/>
      <c r="N83" s="325"/>
      <c r="O83" s="325"/>
      <c r="P83" s="325"/>
      <c r="Q83" s="336"/>
      <c r="R83" s="325"/>
      <c r="S83" s="325"/>
      <c r="T83" s="325"/>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5"/>
      <c r="AT83" s="325"/>
      <c r="AU83" s="325"/>
      <c r="AV83" s="325"/>
      <c r="AW83" s="325"/>
    </row>
    <row r="84" spans="1:49" x14ac:dyDescent="0.25">
      <c r="A84" s="325"/>
      <c r="B84" s="544">
        <v>1</v>
      </c>
      <c r="C84" s="350" t="s">
        <v>466</v>
      </c>
      <c r="D84" s="324"/>
      <c r="E84" s="254"/>
      <c r="F84" s="311"/>
      <c r="G84" s="483" t="s">
        <v>467</v>
      </c>
      <c r="H84" s="484"/>
      <c r="I84" s="484"/>
      <c r="J84" s="484"/>
      <c r="K84" s="485"/>
      <c r="L84" s="340"/>
      <c r="M84" s="325"/>
      <c r="N84" s="325"/>
      <c r="O84" s="325"/>
      <c r="P84" s="325"/>
      <c r="Q84" s="336"/>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c r="AQ84" s="325"/>
      <c r="AR84" s="325"/>
      <c r="AS84" s="325"/>
      <c r="AT84" s="325"/>
      <c r="AU84" s="325"/>
      <c r="AV84" s="325"/>
      <c r="AW84" s="325"/>
    </row>
    <row r="85" spans="1:49" x14ac:dyDescent="0.25">
      <c r="A85" s="325"/>
      <c r="B85" s="545"/>
      <c r="C85" s="305" t="s">
        <v>468</v>
      </c>
      <c r="D85" s="343">
        <v>180</v>
      </c>
      <c r="E85" s="254">
        <v>1917</v>
      </c>
      <c r="F85" s="341">
        <v>10.65</v>
      </c>
      <c r="G85" s="547"/>
      <c r="H85" s="548"/>
      <c r="I85" s="548"/>
      <c r="J85" s="548"/>
      <c r="K85" s="549"/>
      <c r="L85" s="340"/>
      <c r="M85" s="325"/>
      <c r="N85" s="325"/>
      <c r="O85" s="325"/>
      <c r="P85" s="325"/>
      <c r="Q85" s="336"/>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325"/>
      <c r="AQ85" s="325"/>
      <c r="AR85" s="325"/>
      <c r="AS85" s="325"/>
      <c r="AT85" s="325"/>
      <c r="AU85" s="325"/>
      <c r="AV85" s="325"/>
      <c r="AW85" s="325"/>
    </row>
    <row r="86" spans="1:49" x14ac:dyDescent="0.25">
      <c r="A86" s="325"/>
      <c r="B86" s="545"/>
      <c r="C86" s="305" t="s">
        <v>469</v>
      </c>
      <c r="D86" s="253">
        <v>90</v>
      </c>
      <c r="E86" s="254">
        <v>861</v>
      </c>
      <c r="F86" s="254">
        <v>9.57</v>
      </c>
      <c r="G86" s="547"/>
      <c r="H86" s="548"/>
      <c r="I86" s="548"/>
      <c r="J86" s="548"/>
      <c r="K86" s="549"/>
      <c r="L86" s="340"/>
      <c r="M86" s="325"/>
      <c r="N86" s="325"/>
      <c r="O86" s="325"/>
      <c r="P86" s="325"/>
      <c r="Q86" s="336"/>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325"/>
      <c r="AP86" s="325"/>
      <c r="AQ86" s="325"/>
      <c r="AR86" s="325"/>
      <c r="AS86" s="325"/>
      <c r="AT86" s="325"/>
      <c r="AU86" s="325"/>
      <c r="AV86" s="325"/>
      <c r="AW86" s="325"/>
    </row>
    <row r="87" spans="1:49" x14ac:dyDescent="0.25">
      <c r="A87" s="325"/>
      <c r="B87" s="545"/>
      <c r="C87" s="305" t="s">
        <v>470</v>
      </c>
      <c r="D87" s="343">
        <v>20</v>
      </c>
      <c r="E87" s="254">
        <v>96</v>
      </c>
      <c r="F87" s="341">
        <v>4.78</v>
      </c>
      <c r="G87" s="547"/>
      <c r="H87" s="548"/>
      <c r="I87" s="548"/>
      <c r="J87" s="548"/>
      <c r="K87" s="549"/>
      <c r="L87" s="340"/>
      <c r="M87" s="325"/>
      <c r="N87" s="325"/>
      <c r="O87" s="325"/>
      <c r="P87" s="325"/>
      <c r="Q87" s="336"/>
      <c r="R87" s="325"/>
      <c r="S87" s="325"/>
      <c r="T87" s="325"/>
      <c r="U87" s="325"/>
      <c r="V87" s="325"/>
      <c r="W87" s="325"/>
      <c r="X87" s="325"/>
      <c r="Y87" s="325"/>
      <c r="Z87" s="325"/>
      <c r="AA87" s="325"/>
      <c r="AB87" s="325"/>
      <c r="AC87" s="325"/>
      <c r="AD87" s="325"/>
      <c r="AE87" s="325"/>
      <c r="AF87" s="325"/>
      <c r="AG87" s="325"/>
      <c r="AH87" s="325"/>
      <c r="AI87" s="325"/>
      <c r="AJ87" s="325"/>
      <c r="AK87" s="325"/>
      <c r="AL87" s="325"/>
      <c r="AM87" s="325"/>
      <c r="AN87" s="325"/>
      <c r="AO87" s="325"/>
      <c r="AP87" s="325"/>
      <c r="AQ87" s="325"/>
      <c r="AR87" s="325"/>
      <c r="AS87" s="325"/>
      <c r="AT87" s="325"/>
      <c r="AU87" s="325"/>
      <c r="AV87" s="325"/>
      <c r="AW87" s="325"/>
    </row>
    <row r="88" spans="1:49" x14ac:dyDescent="0.25">
      <c r="A88" s="325"/>
      <c r="B88" s="545"/>
      <c r="C88" s="305" t="s">
        <v>471</v>
      </c>
      <c r="D88" s="343">
        <v>840</v>
      </c>
      <c r="E88" s="254">
        <v>8036</v>
      </c>
      <c r="F88" s="341">
        <v>9.57</v>
      </c>
      <c r="G88" s="547"/>
      <c r="H88" s="548"/>
      <c r="I88" s="548"/>
      <c r="J88" s="548"/>
      <c r="K88" s="549"/>
      <c r="L88" s="340"/>
      <c r="M88" s="325"/>
      <c r="N88" s="325"/>
      <c r="O88" s="325"/>
      <c r="P88" s="325"/>
      <c r="Q88" s="336"/>
      <c r="R88" s="325"/>
      <c r="S88" s="325"/>
      <c r="T88" s="325"/>
      <c r="U88" s="325"/>
      <c r="V88" s="325"/>
      <c r="W88" s="325"/>
      <c r="X88" s="325"/>
      <c r="Y88" s="325"/>
      <c r="Z88" s="325"/>
      <c r="AA88" s="325"/>
      <c r="AB88" s="325"/>
      <c r="AC88" s="325"/>
      <c r="AD88" s="325"/>
      <c r="AE88" s="325"/>
      <c r="AF88" s="325"/>
      <c r="AG88" s="325"/>
      <c r="AH88" s="325"/>
      <c r="AI88" s="325"/>
      <c r="AJ88" s="325"/>
      <c r="AK88" s="325"/>
      <c r="AL88" s="325"/>
      <c r="AM88" s="325"/>
      <c r="AN88" s="325"/>
      <c r="AO88" s="325"/>
      <c r="AP88" s="325"/>
      <c r="AQ88" s="325"/>
      <c r="AR88" s="325"/>
      <c r="AS88" s="325"/>
      <c r="AT88" s="325"/>
      <c r="AU88" s="325"/>
      <c r="AV88" s="325"/>
      <c r="AW88" s="325"/>
    </row>
    <row r="89" spans="1:49" x14ac:dyDescent="0.25">
      <c r="A89" s="325"/>
      <c r="B89" s="545"/>
      <c r="C89" s="305" t="s">
        <v>472</v>
      </c>
      <c r="D89" s="343">
        <v>840</v>
      </c>
      <c r="E89" s="254">
        <v>3014</v>
      </c>
      <c r="F89" s="341">
        <v>3.59</v>
      </c>
      <c r="G89" s="547"/>
      <c r="H89" s="548"/>
      <c r="I89" s="548"/>
      <c r="J89" s="548"/>
      <c r="K89" s="549"/>
      <c r="L89" s="340"/>
      <c r="M89" s="325"/>
      <c r="N89" s="325"/>
      <c r="O89" s="325"/>
      <c r="P89" s="325"/>
      <c r="Q89" s="336"/>
      <c r="R89" s="325"/>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25"/>
      <c r="AP89" s="325"/>
      <c r="AQ89" s="325"/>
      <c r="AR89" s="325"/>
      <c r="AS89" s="325"/>
      <c r="AT89" s="325"/>
      <c r="AU89" s="325"/>
      <c r="AV89" s="325"/>
      <c r="AW89" s="325"/>
    </row>
    <row r="90" spans="1:49" x14ac:dyDescent="0.25">
      <c r="A90" s="325"/>
      <c r="B90" s="545"/>
      <c r="C90" s="305" t="s">
        <v>473</v>
      </c>
      <c r="D90" s="343">
        <v>170</v>
      </c>
      <c r="E90" s="254">
        <v>301</v>
      </c>
      <c r="F90" s="341">
        <v>1.77</v>
      </c>
      <c r="G90" s="547"/>
      <c r="H90" s="548"/>
      <c r="I90" s="548"/>
      <c r="J90" s="548"/>
      <c r="K90" s="549"/>
      <c r="L90" s="340"/>
      <c r="M90" s="325"/>
      <c r="N90" s="325"/>
      <c r="O90" s="325"/>
      <c r="P90" s="325"/>
      <c r="Q90" s="336"/>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row>
    <row r="91" spans="1:49" x14ac:dyDescent="0.25">
      <c r="A91" s="325"/>
      <c r="B91" s="546"/>
      <c r="C91" s="344" t="s">
        <v>445</v>
      </c>
      <c r="D91" s="253"/>
      <c r="E91" s="315">
        <f>SUM(E85:E90)</f>
        <v>14225</v>
      </c>
      <c r="F91" s="254"/>
      <c r="G91" s="550"/>
      <c r="H91" s="551"/>
      <c r="I91" s="551"/>
      <c r="J91" s="551"/>
      <c r="K91" s="552"/>
      <c r="L91" s="340"/>
      <c r="M91" s="325"/>
      <c r="N91" s="325"/>
      <c r="O91" s="325"/>
      <c r="P91" s="325"/>
      <c r="Q91" s="336"/>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row>
    <row r="92" spans="1:49" x14ac:dyDescent="0.25">
      <c r="A92" s="325"/>
      <c r="B92" s="553">
        <v>2</v>
      </c>
      <c r="C92" s="351" t="s">
        <v>474</v>
      </c>
      <c r="D92" s="343"/>
      <c r="E92" s="349"/>
      <c r="F92" s="341"/>
      <c r="G92" s="528"/>
      <c r="H92" s="529"/>
      <c r="I92" s="529"/>
      <c r="J92" s="529"/>
      <c r="K92" s="530"/>
      <c r="L92" s="340"/>
      <c r="M92" s="325"/>
      <c r="N92" s="325"/>
      <c r="O92" s="325"/>
      <c r="P92" s="325"/>
      <c r="Q92" s="336"/>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row>
    <row r="93" spans="1:49" x14ac:dyDescent="0.25">
      <c r="A93" s="325"/>
      <c r="B93" s="545"/>
      <c r="C93" s="305" t="s">
        <v>475</v>
      </c>
      <c r="D93" s="343">
        <v>175</v>
      </c>
      <c r="E93" s="254">
        <f>175*5</f>
        <v>875</v>
      </c>
      <c r="F93" s="341">
        <f>E93</f>
        <v>875</v>
      </c>
      <c r="G93" s="564"/>
      <c r="H93" s="565"/>
      <c r="I93" s="565"/>
      <c r="J93" s="565"/>
      <c r="K93" s="566"/>
      <c r="L93" s="340"/>
      <c r="M93" s="325"/>
      <c r="N93" s="325"/>
      <c r="O93" s="325"/>
      <c r="P93" s="325"/>
      <c r="Q93" s="336"/>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row>
    <row r="94" spans="1:49" x14ac:dyDescent="0.25">
      <c r="A94" s="325"/>
      <c r="B94" s="545"/>
      <c r="C94" s="305" t="s">
        <v>476</v>
      </c>
      <c r="D94" s="253">
        <v>180</v>
      </c>
      <c r="E94" s="254">
        <f>180*5</f>
        <v>900</v>
      </c>
      <c r="F94" s="341">
        <f t="shared" ref="F94:F95" si="0">E94</f>
        <v>900</v>
      </c>
      <c r="G94" s="567"/>
      <c r="H94" s="568"/>
      <c r="I94" s="568"/>
      <c r="J94" s="568"/>
      <c r="K94" s="569"/>
      <c r="L94" s="340"/>
      <c r="M94" s="325"/>
      <c r="N94" s="325"/>
      <c r="O94" s="325"/>
      <c r="P94" s="325"/>
      <c r="Q94" s="336"/>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5"/>
      <c r="AO94" s="325"/>
      <c r="AP94" s="325"/>
      <c r="AQ94" s="325"/>
      <c r="AR94" s="325"/>
      <c r="AS94" s="325"/>
      <c r="AT94" s="325"/>
      <c r="AU94" s="325"/>
      <c r="AV94" s="325"/>
      <c r="AW94" s="325"/>
    </row>
    <row r="95" spans="1:49" x14ac:dyDescent="0.25">
      <c r="A95" s="325"/>
      <c r="B95" s="545"/>
      <c r="C95" s="305" t="s">
        <v>477</v>
      </c>
      <c r="D95" s="343">
        <v>108</v>
      </c>
      <c r="E95" s="254">
        <f>108*2.5</f>
        <v>270</v>
      </c>
      <c r="F95" s="341">
        <f t="shared" si="0"/>
        <v>270</v>
      </c>
      <c r="G95" s="567"/>
      <c r="H95" s="568"/>
      <c r="I95" s="568"/>
      <c r="J95" s="568"/>
      <c r="K95" s="569"/>
      <c r="L95" s="340"/>
      <c r="M95" s="325"/>
      <c r="N95" s="325"/>
      <c r="O95" s="325"/>
      <c r="P95" s="325"/>
      <c r="Q95" s="336"/>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325"/>
      <c r="AP95" s="325"/>
      <c r="AQ95" s="325"/>
      <c r="AR95" s="325"/>
      <c r="AS95" s="325"/>
      <c r="AT95" s="325"/>
      <c r="AU95" s="325"/>
      <c r="AV95" s="325"/>
      <c r="AW95" s="325"/>
    </row>
    <row r="96" spans="1:49" x14ac:dyDescent="0.25">
      <c r="A96" s="325"/>
      <c r="B96" s="545"/>
      <c r="C96" s="305" t="s">
        <v>478</v>
      </c>
      <c r="D96" s="343">
        <v>833</v>
      </c>
      <c r="E96" s="254">
        <f>833*7.34</f>
        <v>6114.22</v>
      </c>
      <c r="F96" s="341">
        <f>E96/D96</f>
        <v>7.3400000000000007</v>
      </c>
      <c r="G96" s="567"/>
      <c r="H96" s="568"/>
      <c r="I96" s="568"/>
      <c r="J96" s="568"/>
      <c r="K96" s="569"/>
      <c r="L96" s="340"/>
      <c r="M96" s="325"/>
      <c r="N96" s="325"/>
      <c r="O96" s="325"/>
      <c r="P96" s="325"/>
      <c r="Q96" s="336"/>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5"/>
      <c r="AT96" s="325"/>
      <c r="AU96" s="325"/>
      <c r="AV96" s="325"/>
      <c r="AW96" s="325"/>
    </row>
    <row r="97" spans="1:49" x14ac:dyDescent="0.25">
      <c r="A97" s="325"/>
      <c r="B97" s="546"/>
      <c r="C97" s="344" t="s">
        <v>445</v>
      </c>
      <c r="D97" s="253"/>
      <c r="E97" s="315">
        <f>SUM(E93:E96)</f>
        <v>8159.22</v>
      </c>
      <c r="F97" s="254"/>
      <c r="G97" s="570"/>
      <c r="H97" s="571"/>
      <c r="I97" s="571"/>
      <c r="J97" s="571"/>
      <c r="K97" s="572"/>
      <c r="L97" s="340"/>
      <c r="M97" s="325"/>
      <c r="N97" s="325"/>
      <c r="O97" s="325"/>
      <c r="P97" s="325"/>
      <c r="Q97" s="336"/>
      <c r="R97" s="325"/>
      <c r="S97" s="325"/>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c r="AQ97" s="325"/>
      <c r="AR97" s="325"/>
      <c r="AS97" s="325"/>
      <c r="AT97" s="325"/>
      <c r="AU97" s="325"/>
      <c r="AV97" s="325"/>
      <c r="AW97" s="325"/>
    </row>
    <row r="98" spans="1:49" x14ac:dyDescent="0.25">
      <c r="A98" s="325"/>
      <c r="B98" s="306"/>
      <c r="C98" s="305"/>
      <c r="D98" s="253"/>
      <c r="E98" s="254"/>
      <c r="F98" s="254"/>
      <c r="G98" s="502"/>
      <c r="H98" s="502"/>
      <c r="I98" s="502"/>
      <c r="J98" s="502"/>
      <c r="K98" s="503"/>
      <c r="L98" s="340"/>
      <c r="M98" s="325"/>
      <c r="N98" s="325"/>
      <c r="O98" s="325"/>
      <c r="P98" s="325"/>
      <c r="Q98" s="336"/>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row>
    <row r="99" spans="1:49" ht="15.75" thickBot="1" x14ac:dyDescent="0.3">
      <c r="A99" s="325"/>
      <c r="B99" s="307"/>
      <c r="C99" s="308"/>
      <c r="D99" s="257"/>
      <c r="E99" s="259"/>
      <c r="F99" s="259"/>
      <c r="G99" s="562"/>
      <c r="H99" s="562"/>
      <c r="I99" s="562"/>
      <c r="J99" s="562"/>
      <c r="K99" s="563"/>
      <c r="L99" s="340"/>
      <c r="M99" s="325"/>
      <c r="N99" s="325"/>
      <c r="O99" s="325"/>
      <c r="P99" s="325"/>
      <c r="Q99" s="336"/>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25"/>
      <c r="AV99" s="325"/>
      <c r="AW99" s="325"/>
    </row>
    <row r="101" spans="1:49" ht="15.75" thickBot="1" x14ac:dyDescent="0.3">
      <c r="A101" s="340"/>
      <c r="B101" s="325"/>
      <c r="C101" s="325"/>
      <c r="D101" s="325"/>
      <c r="E101" s="325"/>
      <c r="F101" s="325"/>
      <c r="G101" s="325"/>
      <c r="H101" s="326"/>
      <c r="I101" s="325"/>
      <c r="J101" s="340"/>
      <c r="K101" s="340"/>
      <c r="L101" s="340"/>
      <c r="M101" s="325"/>
      <c r="N101" s="325"/>
      <c r="O101" s="325"/>
      <c r="P101" s="325"/>
      <c r="Q101" s="336"/>
      <c r="R101" s="325"/>
      <c r="S101" s="340"/>
      <c r="T101" s="340"/>
      <c r="U101" s="340"/>
      <c r="V101" s="340"/>
      <c r="W101" s="340"/>
      <c r="X101" s="340"/>
      <c r="Y101" s="340"/>
      <c r="Z101" s="340"/>
      <c r="AA101" s="340"/>
      <c r="AB101" s="340"/>
      <c r="AC101" s="340"/>
      <c r="AD101" s="340"/>
      <c r="AE101" s="340"/>
      <c r="AF101" s="340"/>
      <c r="AG101" s="340"/>
      <c r="AH101" s="340"/>
      <c r="AI101" s="340"/>
      <c r="AJ101" s="340"/>
      <c r="AK101" s="340"/>
      <c r="AL101" s="340"/>
      <c r="AM101" s="340"/>
      <c r="AN101" s="340"/>
      <c r="AO101" s="340"/>
      <c r="AP101" s="340"/>
      <c r="AQ101" s="340"/>
      <c r="AR101" s="340"/>
      <c r="AS101" s="340"/>
      <c r="AT101" s="340"/>
      <c r="AU101" s="340"/>
      <c r="AV101" s="340"/>
      <c r="AW101" s="340"/>
    </row>
    <row r="102" spans="1:49" ht="24.75" customHeight="1" thickBot="1" x14ac:dyDescent="0.3">
      <c r="B102" s="526" t="s">
        <v>483</v>
      </c>
      <c r="C102" s="527"/>
      <c r="D102" s="527"/>
      <c r="E102" s="527"/>
      <c r="F102" s="527"/>
      <c r="G102" s="527"/>
      <c r="H102" s="527"/>
      <c r="I102" s="527"/>
    </row>
    <row r="103" spans="1:49" ht="29.25" thickBot="1" x14ac:dyDescent="0.3">
      <c r="B103" s="300" t="s">
        <v>438</v>
      </c>
      <c r="C103" s="252" t="s">
        <v>439</v>
      </c>
      <c r="D103" s="252" t="s">
        <v>441</v>
      </c>
      <c r="E103" s="495" t="s">
        <v>443</v>
      </c>
      <c r="F103" s="496"/>
      <c r="G103" s="496"/>
      <c r="H103" s="496"/>
      <c r="I103" s="497"/>
    </row>
    <row r="104" spans="1:49" ht="15.75" customHeight="1" x14ac:dyDescent="0.25">
      <c r="B104" s="310"/>
      <c r="C104" s="303"/>
      <c r="D104" s="311"/>
      <c r="E104" s="523"/>
      <c r="F104" s="524"/>
      <c r="G104" s="524"/>
      <c r="H104" s="524"/>
      <c r="I104" s="525"/>
    </row>
    <row r="105" spans="1:49" x14ac:dyDescent="0.25">
      <c r="B105" s="304"/>
      <c r="C105" s="305"/>
      <c r="D105" s="254"/>
      <c r="E105" s="501"/>
      <c r="F105" s="502"/>
      <c r="G105" s="502"/>
      <c r="H105" s="502"/>
      <c r="I105" s="503"/>
    </row>
    <row r="106" spans="1:49" x14ac:dyDescent="0.25">
      <c r="B106" s="306"/>
      <c r="C106" s="305"/>
      <c r="D106" s="254"/>
      <c r="E106" s="501"/>
      <c r="F106" s="502"/>
      <c r="G106" s="502"/>
      <c r="H106" s="502"/>
      <c r="I106" s="503"/>
    </row>
    <row r="107" spans="1:49" ht="15.75" thickBot="1" x14ac:dyDescent="0.3">
      <c r="B107" s="307"/>
      <c r="C107" s="308"/>
      <c r="D107" s="259"/>
      <c r="E107" s="259"/>
      <c r="F107" s="276"/>
      <c r="G107" s="276"/>
      <c r="H107" s="276"/>
      <c r="I107" s="309"/>
    </row>
    <row r="109" spans="1:49" ht="15.75" thickBot="1" x14ac:dyDescent="0.3"/>
    <row r="110" spans="1:49" ht="34.5" customHeight="1" thickBot="1" x14ac:dyDescent="0.3">
      <c r="A110" s="325"/>
      <c r="B110" s="526" t="s">
        <v>479</v>
      </c>
      <c r="C110" s="527"/>
      <c r="D110" s="527"/>
      <c r="E110" s="527"/>
      <c r="F110" s="527"/>
      <c r="G110" s="527"/>
      <c r="H110" s="527"/>
      <c r="I110" s="527"/>
      <c r="J110" s="527"/>
      <c r="K110" s="531"/>
      <c r="L110" s="340"/>
      <c r="M110" s="325"/>
      <c r="N110" s="325"/>
      <c r="O110" s="325"/>
      <c r="P110" s="325"/>
      <c r="Q110" s="336"/>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T110" s="325"/>
      <c r="AU110" s="325"/>
      <c r="AV110" s="325"/>
      <c r="AW110" s="325"/>
    </row>
    <row r="111" spans="1:49" ht="42.75" customHeight="1" thickBot="1" x14ac:dyDescent="0.3">
      <c r="A111" s="325"/>
      <c r="B111" s="300" t="s">
        <v>438</v>
      </c>
      <c r="C111" s="252" t="s">
        <v>439</v>
      </c>
      <c r="D111" s="252" t="s">
        <v>454</v>
      </c>
      <c r="E111" s="252" t="s">
        <v>441</v>
      </c>
      <c r="F111" s="252" t="s">
        <v>158</v>
      </c>
      <c r="G111" s="495" t="s">
        <v>443</v>
      </c>
      <c r="H111" s="496"/>
      <c r="I111" s="496"/>
      <c r="J111" s="496"/>
      <c r="K111" s="497"/>
      <c r="L111" s="340"/>
      <c r="M111" s="325"/>
      <c r="N111" s="325"/>
      <c r="O111" s="325"/>
      <c r="P111" s="325"/>
      <c r="Q111" s="336"/>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row>
    <row r="112" spans="1:49" x14ac:dyDescent="0.25">
      <c r="A112" s="325"/>
      <c r="B112" s="532">
        <v>1</v>
      </c>
      <c r="C112" s="312"/>
      <c r="D112" s="313"/>
      <c r="E112" s="314"/>
      <c r="F112" s="314"/>
      <c r="G112" s="535"/>
      <c r="H112" s="536"/>
      <c r="I112" s="536"/>
      <c r="J112" s="536"/>
      <c r="K112" s="537"/>
      <c r="L112" s="340"/>
      <c r="M112" s="325"/>
      <c r="N112" s="325"/>
      <c r="O112" s="325"/>
      <c r="P112" s="325"/>
      <c r="Q112" s="336"/>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5"/>
      <c r="AP112" s="325"/>
      <c r="AQ112" s="325"/>
      <c r="AR112" s="325"/>
      <c r="AS112" s="325"/>
      <c r="AT112" s="325"/>
      <c r="AU112" s="325"/>
      <c r="AV112" s="325"/>
      <c r="AW112" s="325"/>
    </row>
    <row r="113" spans="1:49" x14ac:dyDescent="0.25">
      <c r="A113" s="325"/>
      <c r="B113" s="533"/>
      <c r="C113" s="342"/>
      <c r="D113" s="343"/>
      <c r="E113" s="349"/>
      <c r="F113" s="341"/>
      <c r="G113" s="538"/>
      <c r="H113" s="539"/>
      <c r="I113" s="539"/>
      <c r="J113" s="539"/>
      <c r="K113" s="540"/>
      <c r="L113" s="340"/>
      <c r="M113" s="325"/>
      <c r="N113" s="325"/>
      <c r="O113" s="325"/>
      <c r="P113" s="325"/>
      <c r="Q113" s="336"/>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row>
    <row r="114" spans="1:49" x14ac:dyDescent="0.25">
      <c r="A114" s="325"/>
      <c r="B114" s="533"/>
      <c r="C114" s="305"/>
      <c r="D114" s="253"/>
      <c r="E114" s="254"/>
      <c r="F114" s="341"/>
      <c r="G114" s="538"/>
      <c r="H114" s="539"/>
      <c r="I114" s="539"/>
      <c r="J114" s="539"/>
      <c r="K114" s="540"/>
      <c r="L114" s="340"/>
      <c r="M114" s="325"/>
      <c r="N114" s="325"/>
      <c r="O114" s="325"/>
      <c r="P114" s="325"/>
      <c r="Q114" s="336"/>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5"/>
      <c r="AW114" s="325"/>
    </row>
    <row r="115" spans="1:49" x14ac:dyDescent="0.25">
      <c r="A115" s="325"/>
      <c r="B115" s="533"/>
      <c r="C115" s="342"/>
      <c r="D115" s="343"/>
      <c r="E115" s="349"/>
      <c r="F115" s="341"/>
      <c r="G115" s="538"/>
      <c r="H115" s="539"/>
      <c r="I115" s="539"/>
      <c r="J115" s="539"/>
      <c r="K115" s="540"/>
      <c r="L115" s="340"/>
      <c r="M115" s="325"/>
      <c r="N115" s="325"/>
      <c r="O115" s="325"/>
      <c r="P115" s="325"/>
      <c r="Q115" s="336"/>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row>
    <row r="116" spans="1:49" x14ac:dyDescent="0.25">
      <c r="A116" s="325"/>
      <c r="B116" s="533"/>
      <c r="C116" s="305"/>
      <c r="D116" s="253"/>
      <c r="E116" s="254"/>
      <c r="F116" s="341"/>
      <c r="G116" s="538"/>
      <c r="H116" s="539"/>
      <c r="I116" s="539"/>
      <c r="J116" s="539"/>
      <c r="K116" s="540"/>
      <c r="L116" s="340"/>
      <c r="M116" s="325"/>
      <c r="N116" s="325"/>
      <c r="O116" s="325"/>
      <c r="P116" s="325"/>
      <c r="Q116" s="336"/>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c r="AQ116" s="325"/>
      <c r="AR116" s="325"/>
      <c r="AS116" s="325"/>
      <c r="AT116" s="325"/>
      <c r="AU116" s="325"/>
      <c r="AV116" s="325"/>
      <c r="AW116" s="325"/>
    </row>
    <row r="117" spans="1:49" x14ac:dyDescent="0.25">
      <c r="A117" s="325"/>
      <c r="B117" s="533"/>
      <c r="C117" s="342"/>
      <c r="D117" s="343"/>
      <c r="E117" s="349"/>
      <c r="F117" s="341"/>
      <c r="G117" s="538"/>
      <c r="H117" s="539"/>
      <c r="I117" s="539"/>
      <c r="J117" s="539"/>
      <c r="K117" s="540"/>
      <c r="L117" s="340"/>
      <c r="M117" s="325"/>
      <c r="N117" s="325"/>
      <c r="O117" s="325"/>
      <c r="P117" s="325"/>
      <c r="Q117" s="336"/>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c r="AP117" s="325"/>
      <c r="AQ117" s="325"/>
      <c r="AR117" s="325"/>
      <c r="AS117" s="325"/>
      <c r="AT117" s="325"/>
      <c r="AU117" s="325"/>
      <c r="AV117" s="325"/>
      <c r="AW117" s="325"/>
    </row>
    <row r="118" spans="1:49" x14ac:dyDescent="0.25">
      <c r="A118" s="325"/>
      <c r="B118" s="533"/>
      <c r="C118" s="344" t="s">
        <v>445</v>
      </c>
      <c r="D118" s="253"/>
      <c r="E118" s="315">
        <f>SUM(E113:E117)</f>
        <v>0</v>
      </c>
      <c r="F118" s="254"/>
      <c r="G118" s="538"/>
      <c r="H118" s="539"/>
      <c r="I118" s="539"/>
      <c r="J118" s="539"/>
      <c r="K118" s="540"/>
      <c r="L118" s="340"/>
      <c r="M118" s="325"/>
      <c r="N118" s="325"/>
      <c r="O118" s="325"/>
      <c r="P118" s="325"/>
      <c r="Q118" s="336"/>
      <c r="R118" s="325"/>
      <c r="S118" s="325"/>
      <c r="T118" s="325"/>
      <c r="U118" s="325"/>
      <c r="V118" s="325"/>
      <c r="W118" s="325"/>
      <c r="X118" s="325"/>
      <c r="Y118" s="325"/>
      <c r="Z118" s="325"/>
      <c r="AA118" s="325"/>
      <c r="AB118" s="325"/>
      <c r="AC118" s="325"/>
      <c r="AD118" s="325"/>
      <c r="AE118" s="325"/>
      <c r="AF118" s="325"/>
      <c r="AG118" s="325"/>
      <c r="AH118" s="325"/>
      <c r="AI118" s="325"/>
      <c r="AJ118" s="325"/>
      <c r="AK118" s="325"/>
      <c r="AL118" s="325"/>
      <c r="AM118" s="325"/>
      <c r="AN118" s="325"/>
      <c r="AO118" s="325"/>
      <c r="AP118" s="325"/>
      <c r="AQ118" s="325"/>
      <c r="AR118" s="325"/>
      <c r="AS118" s="325"/>
      <c r="AT118" s="325"/>
      <c r="AU118" s="325"/>
      <c r="AV118" s="325"/>
      <c r="AW118" s="325"/>
    </row>
    <row r="119" spans="1:49" ht="15.75" thickBot="1" x14ac:dyDescent="0.3">
      <c r="A119" s="325"/>
      <c r="B119" s="534"/>
      <c r="C119" s="345" t="s">
        <v>457</v>
      </c>
      <c r="D119" s="346"/>
      <c r="E119" s="347">
        <f>E118/42</f>
        <v>0</v>
      </c>
      <c r="F119" s="348"/>
      <c r="G119" s="541"/>
      <c r="H119" s="542"/>
      <c r="I119" s="542"/>
      <c r="J119" s="542"/>
      <c r="K119" s="543"/>
      <c r="L119" s="340"/>
      <c r="M119" s="325"/>
      <c r="N119" s="325"/>
      <c r="O119" s="325"/>
      <c r="P119" s="325"/>
      <c r="Q119" s="336"/>
      <c r="R119" s="325"/>
      <c r="S119" s="325"/>
      <c r="T119" s="325"/>
      <c r="U119" s="325"/>
      <c r="V119" s="325"/>
      <c r="W119" s="325"/>
      <c r="X119" s="325"/>
      <c r="Y119" s="325"/>
      <c r="Z119" s="325"/>
      <c r="AA119" s="325"/>
      <c r="AB119" s="325"/>
      <c r="AC119" s="325"/>
      <c r="AD119" s="325"/>
      <c r="AE119" s="325"/>
      <c r="AF119" s="325"/>
      <c r="AG119" s="325"/>
      <c r="AH119" s="325"/>
      <c r="AI119" s="325"/>
      <c r="AJ119" s="325"/>
      <c r="AK119" s="325"/>
      <c r="AL119" s="325"/>
      <c r="AM119" s="325"/>
      <c r="AN119" s="325"/>
      <c r="AO119" s="325"/>
      <c r="AP119" s="325"/>
      <c r="AQ119" s="325"/>
      <c r="AR119" s="325"/>
      <c r="AS119" s="325"/>
      <c r="AT119" s="325"/>
      <c r="AU119" s="325"/>
      <c r="AV119" s="325"/>
      <c r="AW119" s="325"/>
    </row>
    <row r="120" spans="1:49" x14ac:dyDescent="0.25">
      <c r="A120" s="325"/>
      <c r="B120" s="310"/>
      <c r="C120" s="303"/>
      <c r="D120" s="324"/>
      <c r="E120" s="311"/>
      <c r="F120" s="311"/>
      <c r="G120" s="524"/>
      <c r="H120" s="524"/>
      <c r="I120" s="524"/>
      <c r="J120" s="524"/>
      <c r="K120" s="525"/>
      <c r="L120" s="340"/>
      <c r="M120" s="325"/>
      <c r="N120" s="325"/>
      <c r="O120" s="325"/>
      <c r="P120" s="325"/>
      <c r="Q120" s="336"/>
      <c r="R120" s="325"/>
      <c r="S120" s="325"/>
      <c r="T120" s="325"/>
      <c r="U120" s="325"/>
      <c r="V120" s="325"/>
      <c r="W120" s="325"/>
      <c r="X120" s="325"/>
      <c r="Y120" s="325"/>
      <c r="Z120" s="325"/>
      <c r="AA120" s="325"/>
      <c r="AB120" s="325"/>
      <c r="AC120" s="325"/>
      <c r="AD120" s="325"/>
      <c r="AE120" s="325"/>
      <c r="AF120" s="325"/>
      <c r="AG120" s="325"/>
      <c r="AH120" s="325"/>
      <c r="AI120" s="325"/>
      <c r="AJ120" s="325"/>
      <c r="AK120" s="325"/>
      <c r="AL120" s="325"/>
      <c r="AM120" s="325"/>
      <c r="AN120" s="325"/>
      <c r="AO120" s="325"/>
      <c r="AP120" s="325"/>
      <c r="AQ120" s="325"/>
      <c r="AR120" s="325"/>
      <c r="AS120" s="325"/>
      <c r="AT120" s="325"/>
      <c r="AU120" s="325"/>
      <c r="AV120" s="325"/>
      <c r="AW120" s="325"/>
    </row>
    <row r="121" spans="1:49" x14ac:dyDescent="0.25">
      <c r="A121" s="325"/>
      <c r="B121" s="373"/>
      <c r="C121" s="351"/>
      <c r="D121" s="343"/>
      <c r="E121" s="349"/>
      <c r="F121" s="341"/>
      <c r="G121" s="528"/>
      <c r="H121" s="529"/>
      <c r="I121" s="529"/>
      <c r="J121" s="529"/>
      <c r="K121" s="530"/>
      <c r="L121" s="340"/>
      <c r="M121" s="325"/>
      <c r="N121" s="325"/>
      <c r="O121" s="325"/>
      <c r="P121" s="325"/>
      <c r="Q121" s="336"/>
      <c r="R121" s="325"/>
      <c r="S121" s="325"/>
      <c r="T121" s="325"/>
      <c r="U121" s="325"/>
      <c r="V121" s="325"/>
      <c r="W121" s="325"/>
      <c r="X121" s="325"/>
      <c r="Y121" s="325"/>
      <c r="Z121" s="325"/>
      <c r="AA121" s="325"/>
      <c r="AB121" s="325"/>
      <c r="AC121" s="325"/>
      <c r="AD121" s="325"/>
      <c r="AE121" s="325"/>
      <c r="AF121" s="325"/>
      <c r="AG121" s="325"/>
      <c r="AH121" s="325"/>
      <c r="AI121" s="325"/>
      <c r="AJ121" s="325"/>
      <c r="AK121" s="325"/>
      <c r="AL121" s="325"/>
      <c r="AM121" s="325"/>
      <c r="AN121" s="325"/>
      <c r="AO121" s="325"/>
      <c r="AP121" s="325"/>
      <c r="AQ121" s="325"/>
      <c r="AR121" s="325"/>
      <c r="AS121" s="325"/>
      <c r="AT121" s="325"/>
      <c r="AU121" s="325"/>
      <c r="AV121" s="325"/>
      <c r="AW121" s="325"/>
    </row>
    <row r="122" spans="1:49" x14ac:dyDescent="0.25">
      <c r="A122" s="325"/>
      <c r="B122" s="306"/>
      <c r="C122" s="305"/>
      <c r="D122" s="253"/>
      <c r="E122" s="254"/>
      <c r="F122" s="254"/>
      <c r="G122" s="502"/>
      <c r="H122" s="502"/>
      <c r="I122" s="502"/>
      <c r="J122" s="502"/>
      <c r="K122" s="503"/>
      <c r="L122" s="340"/>
      <c r="M122" s="325"/>
      <c r="N122" s="325"/>
      <c r="O122" s="325"/>
      <c r="P122" s="325"/>
      <c r="Q122" s="336"/>
      <c r="R122" s="325"/>
      <c r="S122" s="325"/>
      <c r="T122" s="325"/>
      <c r="U122" s="325"/>
      <c r="V122" s="325"/>
      <c r="W122" s="325"/>
      <c r="X122" s="325"/>
      <c r="Y122" s="325"/>
      <c r="Z122" s="325"/>
      <c r="AA122" s="325"/>
      <c r="AB122" s="325"/>
      <c r="AC122" s="325"/>
      <c r="AD122" s="325"/>
      <c r="AE122" s="325"/>
      <c r="AF122" s="325"/>
      <c r="AG122" s="325"/>
      <c r="AH122" s="325"/>
      <c r="AI122" s="325"/>
      <c r="AJ122" s="325"/>
      <c r="AK122" s="325"/>
      <c r="AL122" s="325"/>
      <c r="AM122" s="325"/>
      <c r="AN122" s="325"/>
      <c r="AO122" s="325"/>
      <c r="AP122" s="325"/>
      <c r="AQ122" s="325"/>
      <c r="AR122" s="325"/>
      <c r="AS122" s="325"/>
      <c r="AT122" s="325"/>
      <c r="AU122" s="325"/>
      <c r="AV122" s="325"/>
      <c r="AW122" s="325"/>
    </row>
    <row r="123" spans="1:49" x14ac:dyDescent="0.25">
      <c r="A123" s="325"/>
      <c r="B123" s="373"/>
      <c r="C123" s="351"/>
      <c r="D123" s="343"/>
      <c r="E123" s="349"/>
      <c r="F123" s="341"/>
      <c r="G123" s="528"/>
      <c r="H123" s="529"/>
      <c r="I123" s="529"/>
      <c r="J123" s="529"/>
      <c r="K123" s="530"/>
      <c r="L123" s="340"/>
      <c r="M123" s="325"/>
      <c r="N123" s="325"/>
      <c r="O123" s="325"/>
      <c r="P123" s="325"/>
      <c r="Q123" s="336"/>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25"/>
      <c r="AP123" s="325"/>
      <c r="AQ123" s="325"/>
      <c r="AR123" s="325"/>
      <c r="AS123" s="325"/>
      <c r="AT123" s="325"/>
      <c r="AU123" s="325"/>
      <c r="AV123" s="325"/>
      <c r="AW123" s="325"/>
    </row>
    <row r="124" spans="1:49" x14ac:dyDescent="0.25">
      <c r="A124" s="325"/>
      <c r="B124" s="306"/>
      <c r="C124" s="305"/>
      <c r="D124" s="253"/>
      <c r="E124" s="254"/>
      <c r="F124" s="254"/>
      <c r="G124" s="502"/>
      <c r="H124" s="502"/>
      <c r="I124" s="502"/>
      <c r="J124" s="502"/>
      <c r="K124" s="503"/>
      <c r="L124" s="340"/>
      <c r="M124" s="325"/>
      <c r="N124" s="325"/>
      <c r="O124" s="325"/>
      <c r="P124" s="325"/>
      <c r="Q124" s="336"/>
      <c r="R124" s="325"/>
      <c r="S124" s="325"/>
      <c r="T124" s="325"/>
      <c r="U124" s="325"/>
      <c r="V124" s="325"/>
      <c r="W124" s="325"/>
      <c r="X124" s="325"/>
      <c r="Y124" s="325"/>
      <c r="Z124" s="325"/>
      <c r="AA124" s="325"/>
      <c r="AB124" s="325"/>
      <c r="AC124" s="325"/>
      <c r="AD124" s="325"/>
      <c r="AE124" s="325"/>
      <c r="AF124" s="325"/>
      <c r="AG124" s="325"/>
      <c r="AH124" s="325"/>
      <c r="AI124" s="325"/>
      <c r="AJ124" s="325"/>
      <c r="AK124" s="325"/>
      <c r="AL124" s="325"/>
      <c r="AM124" s="325"/>
      <c r="AN124" s="325"/>
      <c r="AO124" s="325"/>
      <c r="AP124" s="325"/>
      <c r="AQ124" s="325"/>
      <c r="AR124" s="325"/>
      <c r="AS124" s="325"/>
      <c r="AT124" s="325"/>
      <c r="AU124" s="325"/>
      <c r="AV124" s="325"/>
      <c r="AW124" s="325"/>
    </row>
    <row r="125" spans="1:49" ht="15.75" thickBot="1" x14ac:dyDescent="0.3">
      <c r="A125" s="325"/>
      <c r="B125" s="307"/>
      <c r="C125" s="308"/>
      <c r="D125" s="257"/>
      <c r="E125" s="259"/>
      <c r="F125" s="259"/>
      <c r="G125" s="562"/>
      <c r="H125" s="562"/>
      <c r="I125" s="562"/>
      <c r="J125" s="562"/>
      <c r="K125" s="563"/>
      <c r="L125" s="340"/>
      <c r="M125" s="325"/>
      <c r="N125" s="325"/>
      <c r="O125" s="325"/>
      <c r="P125" s="325"/>
      <c r="Q125" s="336"/>
      <c r="R125" s="325"/>
      <c r="S125" s="325"/>
      <c r="T125" s="325"/>
      <c r="U125" s="325"/>
      <c r="V125" s="325"/>
      <c r="W125" s="325"/>
      <c r="X125" s="325"/>
      <c r="Y125" s="325"/>
      <c r="Z125" s="325"/>
      <c r="AA125" s="325"/>
      <c r="AB125" s="325"/>
      <c r="AC125" s="325"/>
      <c r="AD125" s="325"/>
      <c r="AE125" s="325"/>
      <c r="AF125" s="325"/>
      <c r="AG125" s="325"/>
      <c r="AH125" s="325"/>
      <c r="AI125" s="325"/>
      <c r="AJ125" s="325"/>
      <c r="AK125" s="325"/>
      <c r="AL125" s="325"/>
      <c r="AM125" s="325"/>
      <c r="AN125" s="325"/>
      <c r="AO125" s="325"/>
      <c r="AP125" s="325"/>
      <c r="AQ125" s="325"/>
      <c r="AR125" s="325"/>
      <c r="AS125" s="325"/>
      <c r="AT125" s="325"/>
      <c r="AU125" s="325"/>
      <c r="AV125" s="325"/>
      <c r="AW125" s="325"/>
    </row>
    <row r="127" spans="1:49" ht="15.75" thickBot="1" x14ac:dyDescent="0.3">
      <c r="A127" s="325"/>
      <c r="B127" s="325"/>
      <c r="C127" s="325"/>
      <c r="D127" s="325"/>
      <c r="E127" s="325"/>
      <c r="F127" s="325"/>
      <c r="G127" s="325"/>
      <c r="H127" s="326"/>
      <c r="I127" s="325"/>
      <c r="J127" s="340"/>
      <c r="K127" s="340"/>
      <c r="L127" s="340"/>
      <c r="M127" s="325"/>
      <c r="N127" s="325"/>
      <c r="O127" s="325"/>
      <c r="P127" s="325"/>
      <c r="Q127" s="336"/>
      <c r="R127" s="325"/>
      <c r="S127" s="336"/>
      <c r="T127" s="336"/>
      <c r="U127" s="336"/>
      <c r="V127" s="336"/>
      <c r="W127" s="336"/>
      <c r="X127" s="336"/>
      <c r="Y127" s="336"/>
      <c r="Z127" s="336"/>
      <c r="AA127" s="336"/>
      <c r="AB127" s="336"/>
      <c r="AC127" s="336"/>
      <c r="AD127" s="336"/>
      <c r="AE127" s="336"/>
      <c r="AF127" s="336"/>
      <c r="AG127" s="336"/>
      <c r="AH127" s="336"/>
      <c r="AI127" s="336"/>
      <c r="AJ127" s="336"/>
      <c r="AK127" s="336"/>
      <c r="AL127" s="336"/>
      <c r="AM127" s="336"/>
      <c r="AN127" s="336"/>
      <c r="AO127" s="336"/>
      <c r="AP127" s="336"/>
      <c r="AQ127" s="336"/>
      <c r="AR127" s="336"/>
      <c r="AS127" s="336"/>
      <c r="AT127" s="336"/>
      <c r="AU127" s="336"/>
      <c r="AV127" s="336"/>
      <c r="AW127" s="336"/>
    </row>
    <row r="128" spans="1:49" ht="29.25" customHeight="1" thickBot="1" x14ac:dyDescent="0.3">
      <c r="A128" s="325"/>
      <c r="B128" s="526" t="s">
        <v>480</v>
      </c>
      <c r="C128" s="527"/>
      <c r="D128" s="527"/>
      <c r="E128" s="527"/>
      <c r="F128" s="527"/>
      <c r="G128" s="527"/>
      <c r="H128" s="527"/>
      <c r="I128" s="527"/>
      <c r="J128" s="527"/>
      <c r="K128" s="531"/>
      <c r="L128" s="374"/>
      <c r="M128" s="325"/>
      <c r="N128" s="325"/>
      <c r="O128" s="325"/>
      <c r="P128" s="325"/>
      <c r="Q128" s="336"/>
      <c r="R128" s="325"/>
      <c r="S128" s="336"/>
      <c r="T128" s="336"/>
      <c r="U128" s="336"/>
      <c r="V128" s="336"/>
      <c r="W128" s="336"/>
      <c r="X128" s="336"/>
      <c r="Y128" s="336"/>
      <c r="Z128" s="336"/>
      <c r="AA128" s="336"/>
      <c r="AB128" s="336"/>
      <c r="AC128" s="336"/>
      <c r="AD128" s="336"/>
      <c r="AE128" s="336"/>
      <c r="AF128" s="336"/>
      <c r="AG128" s="336"/>
      <c r="AH128" s="336"/>
      <c r="AI128" s="336"/>
      <c r="AJ128" s="336"/>
      <c r="AK128" s="336"/>
      <c r="AL128" s="336"/>
      <c r="AM128" s="336"/>
      <c r="AN128" s="336"/>
      <c r="AO128" s="336"/>
      <c r="AP128" s="336"/>
      <c r="AQ128" s="336"/>
      <c r="AR128" s="336"/>
      <c r="AS128" s="336"/>
      <c r="AT128" s="336"/>
      <c r="AU128" s="336"/>
      <c r="AV128" s="336"/>
      <c r="AW128" s="336"/>
    </row>
    <row r="129" spans="1:49" ht="42" customHeight="1" thickBot="1" x14ac:dyDescent="0.3">
      <c r="A129" s="325"/>
      <c r="B129" s="283" t="s">
        <v>438</v>
      </c>
      <c r="C129" s="284" t="s">
        <v>439</v>
      </c>
      <c r="D129" s="284" t="s">
        <v>448</v>
      </c>
      <c r="E129" s="284" t="s">
        <v>441</v>
      </c>
      <c r="F129" s="284" t="s">
        <v>158</v>
      </c>
      <c r="G129" s="560" t="s">
        <v>443</v>
      </c>
      <c r="H129" s="560"/>
      <c r="I129" s="560"/>
      <c r="J129" s="560"/>
      <c r="K129" s="561"/>
      <c r="L129" s="327"/>
      <c r="M129" s="325"/>
      <c r="N129" s="325"/>
      <c r="O129" s="325"/>
      <c r="P129" s="325"/>
      <c r="Q129" s="336"/>
      <c r="R129" s="325"/>
      <c r="S129" s="336"/>
      <c r="T129" s="336"/>
      <c r="U129" s="336"/>
      <c r="V129" s="336"/>
      <c r="W129" s="336"/>
      <c r="X129" s="336"/>
      <c r="Y129" s="336"/>
      <c r="Z129" s="336"/>
      <c r="AA129" s="336"/>
      <c r="AB129" s="336"/>
      <c r="AC129" s="336"/>
      <c r="AD129" s="336"/>
      <c r="AE129" s="336"/>
      <c r="AF129" s="336"/>
      <c r="AG129" s="336"/>
      <c r="AH129" s="336"/>
      <c r="AI129" s="336"/>
      <c r="AJ129" s="336"/>
      <c r="AK129" s="336"/>
      <c r="AL129" s="336"/>
      <c r="AM129" s="336"/>
      <c r="AN129" s="336"/>
      <c r="AO129" s="336"/>
      <c r="AP129" s="336"/>
      <c r="AQ129" s="336"/>
      <c r="AR129" s="336"/>
      <c r="AS129" s="336"/>
      <c r="AT129" s="336"/>
      <c r="AU129" s="336"/>
      <c r="AV129" s="336"/>
      <c r="AW129" s="336"/>
    </row>
    <row r="130" spans="1:49" x14ac:dyDescent="0.25">
      <c r="A130" s="325"/>
      <c r="B130" s="375"/>
      <c r="C130" s="372"/>
      <c r="D130" s="352"/>
      <c r="E130" s="353"/>
      <c r="F130" s="354"/>
      <c r="G130" s="376"/>
      <c r="H130" s="377"/>
      <c r="I130" s="377"/>
      <c r="J130" s="377"/>
      <c r="K130" s="378"/>
      <c r="L130" s="379"/>
      <c r="M130" s="325"/>
      <c r="N130" s="325"/>
      <c r="O130" s="325"/>
      <c r="P130" s="325"/>
      <c r="Q130" s="336"/>
      <c r="R130" s="325"/>
      <c r="S130" s="336"/>
      <c r="T130" s="336"/>
      <c r="U130" s="336"/>
      <c r="V130" s="336"/>
      <c r="W130" s="336"/>
      <c r="X130" s="336"/>
      <c r="Y130" s="336"/>
      <c r="Z130" s="336"/>
      <c r="AA130" s="336"/>
      <c r="AB130" s="336"/>
      <c r="AC130" s="336"/>
      <c r="AD130" s="336"/>
      <c r="AE130" s="336"/>
      <c r="AF130" s="336"/>
      <c r="AG130" s="336"/>
      <c r="AH130" s="336"/>
      <c r="AI130" s="336"/>
      <c r="AJ130" s="336"/>
      <c r="AK130" s="336"/>
      <c r="AL130" s="336"/>
      <c r="AM130" s="336"/>
      <c r="AN130" s="336"/>
      <c r="AO130" s="336"/>
      <c r="AP130" s="336"/>
      <c r="AQ130" s="336"/>
      <c r="AR130" s="336"/>
      <c r="AS130" s="336"/>
      <c r="AT130" s="336"/>
      <c r="AU130" s="336"/>
      <c r="AV130" s="336"/>
      <c r="AW130" s="336"/>
    </row>
    <row r="131" spans="1:49" ht="15.75" thickBot="1" x14ac:dyDescent="0.3">
      <c r="A131" s="325"/>
      <c r="B131" s="380"/>
      <c r="C131" s="381"/>
      <c r="D131" s="355"/>
      <c r="E131" s="382"/>
      <c r="F131" s="356"/>
      <c r="G131" s="383"/>
      <c r="H131" s="383"/>
      <c r="I131" s="383"/>
      <c r="J131" s="383"/>
      <c r="K131" s="384"/>
      <c r="L131" s="379"/>
      <c r="M131" s="325"/>
      <c r="N131" s="325"/>
      <c r="O131" s="325"/>
      <c r="P131" s="325"/>
      <c r="Q131" s="336"/>
      <c r="R131" s="325"/>
      <c r="S131" s="336"/>
      <c r="T131" s="336"/>
      <c r="U131" s="336"/>
      <c r="V131" s="336"/>
      <c r="W131" s="336"/>
      <c r="X131" s="336"/>
      <c r="Y131" s="336"/>
      <c r="Z131" s="336"/>
      <c r="AA131" s="336"/>
      <c r="AB131" s="336"/>
      <c r="AC131" s="336"/>
      <c r="AD131" s="336"/>
      <c r="AE131" s="336"/>
      <c r="AF131" s="336"/>
      <c r="AG131" s="336"/>
      <c r="AH131" s="336"/>
      <c r="AI131" s="336"/>
      <c r="AJ131" s="336"/>
      <c r="AK131" s="336"/>
      <c r="AL131" s="336"/>
      <c r="AM131" s="336"/>
      <c r="AN131" s="336"/>
      <c r="AO131" s="336"/>
      <c r="AP131" s="336"/>
      <c r="AQ131" s="336"/>
      <c r="AR131" s="336"/>
      <c r="AS131" s="336"/>
      <c r="AT131" s="336"/>
      <c r="AU131" s="336"/>
      <c r="AV131" s="336"/>
      <c r="AW131" s="336"/>
    </row>
    <row r="132" spans="1:49" x14ac:dyDescent="0.25">
      <c r="A132" s="340"/>
      <c r="B132" s="325"/>
      <c r="C132" s="325"/>
      <c r="D132" s="325"/>
      <c r="E132" s="325"/>
      <c r="F132" s="325"/>
      <c r="G132" s="325"/>
      <c r="H132" s="326"/>
      <c r="I132" s="325"/>
      <c r="J132" s="340"/>
      <c r="K132" s="340"/>
      <c r="L132" s="340"/>
      <c r="M132" s="325"/>
      <c r="N132" s="325"/>
      <c r="O132" s="325"/>
      <c r="P132" s="325"/>
      <c r="Q132" s="336"/>
      <c r="R132" s="325"/>
      <c r="S132" s="340"/>
      <c r="T132" s="340"/>
      <c r="U132" s="340"/>
      <c r="V132" s="340"/>
      <c r="W132" s="340"/>
      <c r="X132" s="340"/>
      <c r="Y132" s="340"/>
      <c r="Z132" s="340"/>
      <c r="AA132" s="340"/>
      <c r="AB132" s="340"/>
      <c r="AC132" s="340"/>
      <c r="AD132" s="340"/>
      <c r="AE132" s="340"/>
      <c r="AF132" s="340"/>
      <c r="AG132" s="340"/>
      <c r="AH132" s="340"/>
      <c r="AI132" s="340"/>
      <c r="AJ132" s="340"/>
      <c r="AK132" s="340"/>
      <c r="AL132" s="340"/>
      <c r="AM132" s="340"/>
      <c r="AN132" s="340"/>
      <c r="AO132" s="340"/>
      <c r="AP132" s="340"/>
      <c r="AQ132" s="340"/>
      <c r="AR132" s="340"/>
      <c r="AS132" s="340"/>
      <c r="AT132" s="340"/>
      <c r="AU132" s="340"/>
      <c r="AV132" s="340"/>
      <c r="AW132" s="340"/>
    </row>
  </sheetData>
  <mergeCells count="69">
    <mergeCell ref="G129:K129"/>
    <mergeCell ref="B56:I56"/>
    <mergeCell ref="E57:I57"/>
    <mergeCell ref="E58:I58"/>
    <mergeCell ref="E59:I59"/>
    <mergeCell ref="E60:I60"/>
    <mergeCell ref="G123:K123"/>
    <mergeCell ref="G124:K124"/>
    <mergeCell ref="G125:K125"/>
    <mergeCell ref="B128:K128"/>
    <mergeCell ref="G92:K92"/>
    <mergeCell ref="G93:K97"/>
    <mergeCell ref="G98:K98"/>
    <mergeCell ref="G99:K99"/>
    <mergeCell ref="B72:L72"/>
    <mergeCell ref="B82:K82"/>
    <mergeCell ref="G83:K83"/>
    <mergeCell ref="B84:B91"/>
    <mergeCell ref="G84:K91"/>
    <mergeCell ref="B92:B97"/>
    <mergeCell ref="B30:B31"/>
    <mergeCell ref="K30:L30"/>
    <mergeCell ref="B75:J75"/>
    <mergeCell ref="F79:J79"/>
    <mergeCell ref="F76:J76"/>
    <mergeCell ref="B77:B78"/>
    <mergeCell ref="E44:I44"/>
    <mergeCell ref="B48:I48"/>
    <mergeCell ref="E49:I49"/>
    <mergeCell ref="E50:I50"/>
    <mergeCell ref="E51:I51"/>
    <mergeCell ref="E52:I52"/>
    <mergeCell ref="G121:K121"/>
    <mergeCell ref="G122:K122"/>
    <mergeCell ref="B110:K110"/>
    <mergeCell ref="G111:K111"/>
    <mergeCell ref="B112:B119"/>
    <mergeCell ref="G112:K119"/>
    <mergeCell ref="G120:K120"/>
    <mergeCell ref="E103:I103"/>
    <mergeCell ref="E104:I104"/>
    <mergeCell ref="E105:I105"/>
    <mergeCell ref="E106:I106"/>
    <mergeCell ref="B102:I102"/>
    <mergeCell ref="K8:L10"/>
    <mergeCell ref="B13:L13"/>
    <mergeCell ref="B15:B19"/>
    <mergeCell ref="B22:L22"/>
    <mergeCell ref="B24:B25"/>
    <mergeCell ref="K24:L24"/>
    <mergeCell ref="K25:L25"/>
    <mergeCell ref="K23:L23"/>
    <mergeCell ref="B8:B10"/>
    <mergeCell ref="F77:J78"/>
    <mergeCell ref="B2:L2"/>
    <mergeCell ref="B40:I40"/>
    <mergeCell ref="E41:I41"/>
    <mergeCell ref="E42:I42"/>
    <mergeCell ref="E43:I43"/>
    <mergeCell ref="B34:L34"/>
    <mergeCell ref="K35:L35"/>
    <mergeCell ref="K31:L31"/>
    <mergeCell ref="B28:L28"/>
    <mergeCell ref="K29:L29"/>
    <mergeCell ref="B36:B37"/>
    <mergeCell ref="K36:L36"/>
    <mergeCell ref="K37:L37"/>
    <mergeCell ref="B6:L6"/>
    <mergeCell ref="K7:L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5EDD3-DF6A-44A4-862E-279787FD66AE}">
  <sheetPr>
    <pageSetUpPr fitToPage="1"/>
  </sheetPr>
  <dimension ref="A1:P742"/>
  <sheetViews>
    <sheetView zoomScale="70" zoomScaleNormal="70" workbookViewId="0">
      <pane xSplit="5" ySplit="1" topLeftCell="F105" activePane="bottomRight" state="frozen"/>
      <selection pane="topRight" activeCell="F1" sqref="F1"/>
      <selection pane="bottomLeft" activeCell="A2" sqref="A2"/>
      <selection pane="bottomRight" activeCell="D117" sqref="D117"/>
    </sheetView>
  </sheetViews>
  <sheetFormatPr defaultColWidth="8" defaultRowHeight="15" x14ac:dyDescent="0.25"/>
  <cols>
    <col min="1" max="1" width="11.42578125" style="142" customWidth="1"/>
    <col min="2" max="2" width="88.7109375" style="142" bestFit="1" customWidth="1"/>
    <col min="3" max="3" width="78" style="189" bestFit="1" customWidth="1"/>
    <col min="4" max="4" width="23.7109375" style="190" bestFit="1" customWidth="1"/>
    <col min="5" max="5" width="31.140625" style="190" customWidth="1"/>
    <col min="6" max="6" width="15.28515625" style="191" bestFit="1" customWidth="1"/>
    <col min="7" max="7" width="19.7109375" style="191" customWidth="1"/>
    <col min="8" max="8" width="34.85546875" style="189" customWidth="1"/>
    <col min="9" max="9" width="63.85546875" style="142" bestFit="1" customWidth="1"/>
    <col min="10" max="10" width="96.42578125" style="142" bestFit="1" customWidth="1"/>
    <col min="11" max="16384" width="8" style="142"/>
  </cols>
  <sheetData>
    <row r="1" spans="1:8" ht="40.5" customHeight="1" thickBot="1" x14ac:dyDescent="0.3">
      <c r="A1" s="135" t="s">
        <v>11</v>
      </c>
      <c r="B1" s="136" t="s">
        <v>155</v>
      </c>
      <c r="C1" s="137" t="s">
        <v>156</v>
      </c>
      <c r="D1" s="138" t="s">
        <v>42</v>
      </c>
      <c r="E1" s="138" t="s">
        <v>157</v>
      </c>
      <c r="F1" s="139" t="s">
        <v>158</v>
      </c>
      <c r="G1" s="140" t="s">
        <v>159</v>
      </c>
      <c r="H1" s="141" t="s">
        <v>160</v>
      </c>
    </row>
    <row r="2" spans="1:8" s="149" customFormat="1" ht="15.75" x14ac:dyDescent="0.25">
      <c r="A2" s="581">
        <v>30100</v>
      </c>
      <c r="B2" s="143" t="s">
        <v>6</v>
      </c>
      <c r="C2" s="144"/>
      <c r="D2" s="145"/>
      <c r="E2" s="145"/>
      <c r="F2" s="146"/>
      <c r="G2" s="147">
        <f t="shared" ref="G2:G14" si="0">F2+(F2*0.05)</f>
        <v>0</v>
      </c>
      <c r="H2" s="148"/>
    </row>
    <row r="3" spans="1:8" s="149" customFormat="1" ht="15.75" x14ac:dyDescent="0.25">
      <c r="A3" s="581"/>
      <c r="B3" s="150" t="s">
        <v>161</v>
      </c>
      <c r="C3" s="144"/>
      <c r="D3" s="145"/>
      <c r="E3" s="145"/>
      <c r="F3" s="146"/>
      <c r="G3" s="147">
        <f t="shared" si="0"/>
        <v>0</v>
      </c>
      <c r="H3" s="148"/>
    </row>
    <row r="4" spans="1:8" s="149" customFormat="1" ht="15.75" x14ac:dyDescent="0.25">
      <c r="A4" s="581"/>
      <c r="B4" s="216" t="s">
        <v>365</v>
      </c>
      <c r="C4" s="144" t="s">
        <v>162</v>
      </c>
      <c r="D4" s="165" t="s">
        <v>364</v>
      </c>
      <c r="E4" s="165" t="s">
        <v>363</v>
      </c>
      <c r="F4" s="166">
        <v>193.66</v>
      </c>
      <c r="G4" s="147">
        <f t="shared" si="0"/>
        <v>203.34299999999999</v>
      </c>
      <c r="H4" s="174" t="s">
        <v>362</v>
      </c>
    </row>
    <row r="5" spans="1:8" s="149" customFormat="1" ht="15.75" x14ac:dyDescent="0.25">
      <c r="A5" s="581"/>
      <c r="B5" s="152" t="s">
        <v>163</v>
      </c>
      <c r="C5" s="144"/>
      <c r="D5" s="145"/>
      <c r="E5" s="145"/>
      <c r="F5" s="146"/>
      <c r="G5" s="147">
        <f t="shared" si="0"/>
        <v>0</v>
      </c>
      <c r="H5" s="148"/>
    </row>
    <row r="6" spans="1:8" s="149" customFormat="1" ht="15.75" x14ac:dyDescent="0.25">
      <c r="A6" s="581"/>
      <c r="B6" s="151" t="s">
        <v>164</v>
      </c>
      <c r="C6" s="144" t="s">
        <v>162</v>
      </c>
      <c r="D6" s="219" t="s">
        <v>361</v>
      </c>
      <c r="E6" s="145" t="s">
        <v>360</v>
      </c>
      <c r="F6" s="146">
        <v>154.49</v>
      </c>
      <c r="G6" s="147">
        <f t="shared" si="0"/>
        <v>162.21450000000002</v>
      </c>
      <c r="H6" s="148" t="s">
        <v>359</v>
      </c>
    </row>
    <row r="7" spans="1:8" s="149" customFormat="1" ht="15.75" x14ac:dyDescent="0.25">
      <c r="A7" s="581"/>
      <c r="B7" s="152" t="s">
        <v>165</v>
      </c>
      <c r="C7" s="144"/>
      <c r="D7" s="145"/>
      <c r="E7" s="145"/>
      <c r="F7" s="146"/>
      <c r="G7" s="147">
        <f t="shared" si="0"/>
        <v>0</v>
      </c>
      <c r="H7" s="148"/>
    </row>
    <row r="8" spans="1:8" s="149" customFormat="1" ht="15.75" x14ac:dyDescent="0.25">
      <c r="A8" s="581"/>
      <c r="B8" s="216" t="s">
        <v>358</v>
      </c>
      <c r="C8" s="144" t="s">
        <v>162</v>
      </c>
      <c r="D8" s="219" t="s">
        <v>357</v>
      </c>
      <c r="E8" s="219" t="s">
        <v>355</v>
      </c>
      <c r="F8" s="146">
        <v>351.97</v>
      </c>
      <c r="G8" s="147">
        <f t="shared" si="0"/>
        <v>369.56850000000003</v>
      </c>
      <c r="H8" s="224" t="s">
        <v>356</v>
      </c>
    </row>
    <row r="9" spans="1:8" s="149" customFormat="1" ht="15.75" x14ac:dyDescent="0.25">
      <c r="A9" s="581"/>
      <c r="B9" s="152" t="s">
        <v>166</v>
      </c>
      <c r="C9" s="144"/>
      <c r="D9" s="145"/>
      <c r="E9" s="145"/>
      <c r="F9" s="146"/>
      <c r="G9" s="147">
        <f t="shared" si="0"/>
        <v>0</v>
      </c>
      <c r="H9" s="148"/>
    </row>
    <row r="10" spans="1:8" s="149" customFormat="1" ht="15.75" x14ac:dyDescent="0.25">
      <c r="A10" s="581"/>
      <c r="B10" s="153" t="s">
        <v>167</v>
      </c>
      <c r="C10" s="144" t="s">
        <v>162</v>
      </c>
      <c r="D10" s="219" t="s">
        <v>308</v>
      </c>
      <c r="E10" s="219" t="s">
        <v>355</v>
      </c>
      <c r="F10" s="146">
        <v>58.01</v>
      </c>
      <c r="G10" s="147">
        <f t="shared" si="0"/>
        <v>60.910499999999999</v>
      </c>
      <c r="H10" s="148" t="s">
        <v>354</v>
      </c>
    </row>
    <row r="11" spans="1:8" s="149" customFormat="1" ht="15.75" x14ac:dyDescent="0.25">
      <c r="A11" s="581">
        <v>40120</v>
      </c>
      <c r="B11" s="143" t="s">
        <v>168</v>
      </c>
      <c r="C11" s="144"/>
      <c r="D11" s="145"/>
      <c r="E11" s="145"/>
      <c r="F11" s="146"/>
      <c r="G11" s="147">
        <f t="shared" si="0"/>
        <v>0</v>
      </c>
      <c r="H11" s="148"/>
    </row>
    <row r="12" spans="1:8" s="149" customFormat="1" ht="15.75" x14ac:dyDescent="0.25">
      <c r="A12" s="581"/>
      <c r="B12" s="150" t="s">
        <v>169</v>
      </c>
      <c r="C12" s="144"/>
      <c r="D12" s="145"/>
      <c r="E12" s="145"/>
      <c r="F12" s="146"/>
      <c r="G12" s="147">
        <f t="shared" si="0"/>
        <v>0</v>
      </c>
      <c r="H12" s="148"/>
    </row>
    <row r="13" spans="1:8" s="149" customFormat="1" ht="15.75" customHeight="1" x14ac:dyDescent="0.25">
      <c r="A13" s="581"/>
      <c r="B13" s="216" t="s">
        <v>170</v>
      </c>
      <c r="C13" s="176" t="s">
        <v>171</v>
      </c>
      <c r="D13" s="219" t="s">
        <v>318</v>
      </c>
      <c r="E13" s="219" t="s">
        <v>317</v>
      </c>
      <c r="F13" s="146">
        <v>39.99</v>
      </c>
      <c r="G13" s="147">
        <f t="shared" si="0"/>
        <v>41.9895</v>
      </c>
      <c r="H13" s="148" t="s">
        <v>316</v>
      </c>
    </row>
    <row r="14" spans="1:8" s="149" customFormat="1" ht="15.75" x14ac:dyDescent="0.25">
      <c r="A14" s="581"/>
      <c r="B14" s="150" t="s">
        <v>172</v>
      </c>
      <c r="C14" s="144"/>
      <c r="D14" s="145"/>
      <c r="E14" s="145"/>
      <c r="F14" s="146"/>
      <c r="G14" s="147">
        <f t="shared" si="0"/>
        <v>0</v>
      </c>
      <c r="H14" s="148"/>
    </row>
    <row r="15" spans="1:8" s="149" customFormat="1" ht="15.75" x14ac:dyDescent="0.25">
      <c r="A15" s="581"/>
      <c r="B15" s="153" t="s">
        <v>173</v>
      </c>
      <c r="C15" s="144" t="s">
        <v>171</v>
      </c>
      <c r="D15" s="145" t="s">
        <v>353</v>
      </c>
      <c r="E15" s="145"/>
      <c r="F15" s="146"/>
      <c r="G15" s="147">
        <v>96</v>
      </c>
      <c r="H15" s="148" t="s">
        <v>352</v>
      </c>
    </row>
    <row r="16" spans="1:8" s="149" customFormat="1" ht="15.75" x14ac:dyDescent="0.25">
      <c r="A16" s="582">
        <v>40140</v>
      </c>
      <c r="B16" s="143" t="s">
        <v>174</v>
      </c>
      <c r="C16" s="144"/>
      <c r="D16" s="145"/>
      <c r="E16" s="145"/>
      <c r="F16" s="146"/>
      <c r="G16" s="147">
        <f t="shared" ref="G16:G47" si="1">F16+(F16*0.05)</f>
        <v>0</v>
      </c>
      <c r="H16" s="148"/>
    </row>
    <row r="17" spans="1:8" s="149" customFormat="1" ht="15.75" x14ac:dyDescent="0.25">
      <c r="A17" s="583"/>
      <c r="B17" s="150" t="s">
        <v>175</v>
      </c>
      <c r="C17" s="144"/>
      <c r="D17" s="145"/>
      <c r="E17" s="145"/>
      <c r="F17" s="146"/>
      <c r="G17" s="147">
        <f t="shared" si="1"/>
        <v>0</v>
      </c>
      <c r="H17" s="148"/>
    </row>
    <row r="18" spans="1:8" s="149" customFormat="1" ht="15.75" x14ac:dyDescent="0.25">
      <c r="A18" s="583"/>
      <c r="B18" s="153" t="s">
        <v>176</v>
      </c>
      <c r="C18" s="144" t="s">
        <v>177</v>
      </c>
      <c r="D18" s="145"/>
      <c r="E18" s="145"/>
      <c r="F18" s="146"/>
      <c r="G18" s="147">
        <f t="shared" si="1"/>
        <v>0</v>
      </c>
      <c r="H18" s="148"/>
    </row>
    <row r="19" spans="1:8" s="149" customFormat="1" ht="15.75" x14ac:dyDescent="0.25">
      <c r="A19" s="583"/>
      <c r="B19" s="153" t="s">
        <v>178</v>
      </c>
      <c r="C19" s="144" t="s">
        <v>179</v>
      </c>
      <c r="D19" s="145" t="s">
        <v>351</v>
      </c>
      <c r="E19" s="145" t="s">
        <v>350</v>
      </c>
      <c r="F19" s="146">
        <v>72.010000000000005</v>
      </c>
      <c r="G19" s="147">
        <f t="shared" si="1"/>
        <v>75.610500000000002</v>
      </c>
      <c r="H19" s="148" t="s">
        <v>349</v>
      </c>
    </row>
    <row r="20" spans="1:8" s="149" customFormat="1" ht="15.75" x14ac:dyDescent="0.25">
      <c r="A20" s="583"/>
      <c r="B20" s="153" t="s">
        <v>180</v>
      </c>
      <c r="C20" s="144" t="s">
        <v>181</v>
      </c>
      <c r="D20" s="145"/>
      <c r="E20" s="145"/>
      <c r="F20" s="146"/>
      <c r="G20" s="147">
        <f t="shared" si="1"/>
        <v>0</v>
      </c>
      <c r="H20" s="148"/>
    </row>
    <row r="21" spans="1:8" s="149" customFormat="1" ht="15.75" x14ac:dyDescent="0.25">
      <c r="A21" s="583"/>
      <c r="B21" s="150" t="s">
        <v>182</v>
      </c>
      <c r="C21" s="144"/>
      <c r="D21" s="145"/>
      <c r="E21" s="145"/>
      <c r="F21" s="146"/>
      <c r="G21" s="147">
        <f t="shared" si="1"/>
        <v>0</v>
      </c>
      <c r="H21" s="148"/>
    </row>
    <row r="22" spans="1:8" s="149" customFormat="1" ht="15.75" x14ac:dyDescent="0.25">
      <c r="A22" s="583"/>
      <c r="B22" s="153" t="s">
        <v>183</v>
      </c>
      <c r="C22" s="144" t="s">
        <v>177</v>
      </c>
      <c r="D22" s="145"/>
      <c r="E22" s="145"/>
      <c r="F22" s="146"/>
      <c r="G22" s="147">
        <f t="shared" si="1"/>
        <v>0</v>
      </c>
      <c r="H22" s="148"/>
    </row>
    <row r="23" spans="1:8" s="149" customFormat="1" ht="15.75" x14ac:dyDescent="0.25">
      <c r="A23" s="583"/>
      <c r="B23" s="153" t="s">
        <v>184</v>
      </c>
      <c r="C23" s="144" t="s">
        <v>179</v>
      </c>
      <c r="D23" s="219" t="s">
        <v>351</v>
      </c>
      <c r="E23" s="145" t="s">
        <v>350</v>
      </c>
      <c r="F23" s="146">
        <v>83.48</v>
      </c>
      <c r="G23" s="147">
        <f t="shared" si="1"/>
        <v>87.654000000000011</v>
      </c>
      <c r="H23" s="148" t="s">
        <v>349</v>
      </c>
    </row>
    <row r="24" spans="1:8" s="149" customFormat="1" ht="15.75" x14ac:dyDescent="0.25">
      <c r="A24" s="583"/>
      <c r="B24" s="153" t="s">
        <v>185</v>
      </c>
      <c r="C24" s="144" t="s">
        <v>179</v>
      </c>
      <c r="D24" s="145"/>
      <c r="E24" s="145"/>
      <c r="F24" s="146"/>
      <c r="G24" s="147">
        <f t="shared" si="1"/>
        <v>0</v>
      </c>
      <c r="H24" s="148"/>
    </row>
    <row r="25" spans="1:8" s="149" customFormat="1" ht="15.75" x14ac:dyDescent="0.25">
      <c r="A25" s="583"/>
      <c r="B25" s="153" t="s">
        <v>186</v>
      </c>
      <c r="C25" s="144" t="s">
        <v>179</v>
      </c>
      <c r="D25" s="145"/>
      <c r="E25" s="145"/>
      <c r="F25" s="146"/>
      <c r="G25" s="147">
        <f t="shared" si="1"/>
        <v>0</v>
      </c>
      <c r="H25" s="148"/>
    </row>
    <row r="26" spans="1:8" s="149" customFormat="1" ht="15.75" x14ac:dyDescent="0.25">
      <c r="A26" s="583"/>
      <c r="B26" s="150" t="s">
        <v>187</v>
      </c>
      <c r="C26" s="144"/>
      <c r="D26" s="145"/>
      <c r="E26" s="145"/>
      <c r="F26" s="146"/>
      <c r="G26" s="147">
        <f t="shared" si="1"/>
        <v>0</v>
      </c>
      <c r="H26" s="148"/>
    </row>
    <row r="27" spans="1:8" s="149" customFormat="1" ht="31.5" x14ac:dyDescent="0.25">
      <c r="A27" s="583"/>
      <c r="B27" s="153" t="s">
        <v>188</v>
      </c>
      <c r="C27" s="154" t="s">
        <v>189</v>
      </c>
      <c r="D27" s="145" t="s">
        <v>348</v>
      </c>
      <c r="E27" s="145" t="s">
        <v>347</v>
      </c>
      <c r="F27" s="146">
        <v>323.19</v>
      </c>
      <c r="G27" s="147">
        <f t="shared" si="1"/>
        <v>339.34949999999998</v>
      </c>
      <c r="H27" s="224" t="s">
        <v>346</v>
      </c>
    </row>
    <row r="28" spans="1:8" s="149" customFormat="1" ht="15.75" x14ac:dyDescent="0.25">
      <c r="A28" s="583"/>
      <c r="B28" s="150" t="s">
        <v>190</v>
      </c>
      <c r="C28" s="144"/>
      <c r="D28" s="145"/>
      <c r="E28" s="145"/>
      <c r="F28" s="146"/>
      <c r="G28" s="147">
        <f t="shared" si="1"/>
        <v>0</v>
      </c>
      <c r="H28" s="148"/>
    </row>
    <row r="29" spans="1:8" s="149" customFormat="1" ht="31.5" x14ac:dyDescent="0.25">
      <c r="A29" s="583"/>
      <c r="B29" s="153" t="s">
        <v>191</v>
      </c>
      <c r="C29" s="154" t="s">
        <v>189</v>
      </c>
      <c r="D29" s="145" t="s">
        <v>345</v>
      </c>
      <c r="E29" s="145"/>
      <c r="F29" s="146">
        <v>191.28</v>
      </c>
      <c r="G29" s="147">
        <f t="shared" si="1"/>
        <v>200.84399999999999</v>
      </c>
      <c r="H29" s="148" t="s">
        <v>344</v>
      </c>
    </row>
    <row r="30" spans="1:8" s="149" customFormat="1" ht="15.75" x14ac:dyDescent="0.25">
      <c r="A30" s="583"/>
      <c r="B30" s="150" t="s">
        <v>192</v>
      </c>
      <c r="C30" s="144"/>
      <c r="D30" s="145"/>
      <c r="E30" s="145"/>
      <c r="F30" s="146"/>
      <c r="G30" s="147">
        <f t="shared" si="1"/>
        <v>0</v>
      </c>
      <c r="H30" s="148"/>
    </row>
    <row r="31" spans="1:8" s="149" customFormat="1" ht="15.75" x14ac:dyDescent="0.25">
      <c r="A31" s="583"/>
      <c r="B31" s="153" t="s">
        <v>193</v>
      </c>
      <c r="C31" s="144" t="s">
        <v>194</v>
      </c>
      <c r="D31" s="219"/>
      <c r="E31" s="145"/>
      <c r="F31" s="146"/>
      <c r="G31" s="147">
        <f t="shared" si="1"/>
        <v>0</v>
      </c>
      <c r="H31" s="148"/>
    </row>
    <row r="32" spans="1:8" s="149" customFormat="1" ht="15.75" x14ac:dyDescent="0.25">
      <c r="A32" s="583"/>
      <c r="B32" s="153" t="s">
        <v>195</v>
      </c>
      <c r="C32" s="144" t="s">
        <v>171</v>
      </c>
      <c r="D32" s="219" t="s">
        <v>390</v>
      </c>
      <c r="E32" s="145"/>
      <c r="F32" s="146">
        <v>2</v>
      </c>
      <c r="G32" s="147">
        <f t="shared" si="1"/>
        <v>2.1</v>
      </c>
      <c r="H32" s="174" t="s">
        <v>494</v>
      </c>
    </row>
    <row r="33" spans="1:8" s="149" customFormat="1" ht="15.75" x14ac:dyDescent="0.25">
      <c r="A33" s="583"/>
      <c r="B33" s="150" t="s">
        <v>196</v>
      </c>
      <c r="C33" s="144"/>
      <c r="D33" s="145"/>
      <c r="E33" s="145"/>
      <c r="F33" s="146"/>
      <c r="G33" s="147">
        <f t="shared" si="1"/>
        <v>0</v>
      </c>
      <c r="H33" s="148"/>
    </row>
    <row r="34" spans="1:8" s="149" customFormat="1" ht="15.75" x14ac:dyDescent="0.25">
      <c r="A34" s="583"/>
      <c r="B34" s="155" t="s">
        <v>197</v>
      </c>
      <c r="C34" s="144"/>
      <c r="D34" s="145"/>
      <c r="E34" s="145"/>
      <c r="F34" s="146"/>
      <c r="G34" s="147">
        <f t="shared" si="1"/>
        <v>0</v>
      </c>
      <c r="H34" s="148"/>
    </row>
    <row r="35" spans="1:8" s="149" customFormat="1" ht="15.75" x14ac:dyDescent="0.25">
      <c r="A35" s="583"/>
      <c r="B35" s="153" t="s">
        <v>198</v>
      </c>
      <c r="C35" s="144" t="s">
        <v>199</v>
      </c>
      <c r="D35" s="145" t="s">
        <v>77</v>
      </c>
      <c r="E35" s="145"/>
      <c r="F35" s="146">
        <v>1.1100000000000001</v>
      </c>
      <c r="G35" s="147">
        <f t="shared" si="1"/>
        <v>1.1655000000000002</v>
      </c>
      <c r="H35" s="148" t="s">
        <v>343</v>
      </c>
    </row>
    <row r="36" spans="1:8" s="149" customFormat="1" ht="15.75" x14ac:dyDescent="0.25">
      <c r="A36" s="583"/>
      <c r="B36" s="155" t="s">
        <v>200</v>
      </c>
      <c r="C36" s="144"/>
      <c r="D36" s="145"/>
      <c r="E36" s="145"/>
      <c r="F36" s="146"/>
      <c r="G36" s="147">
        <f t="shared" si="1"/>
        <v>0</v>
      </c>
      <c r="H36" s="148"/>
    </row>
    <row r="37" spans="1:8" s="149" customFormat="1" ht="15.75" x14ac:dyDescent="0.25">
      <c r="A37" s="583"/>
      <c r="B37" s="153" t="s">
        <v>201</v>
      </c>
      <c r="C37" s="144" t="s">
        <v>199</v>
      </c>
      <c r="D37" s="145" t="s">
        <v>77</v>
      </c>
      <c r="E37" s="145"/>
      <c r="F37" s="146">
        <v>0.62</v>
      </c>
      <c r="G37" s="147">
        <f t="shared" si="1"/>
        <v>0.65100000000000002</v>
      </c>
      <c r="H37" s="148" t="s">
        <v>342</v>
      </c>
    </row>
    <row r="38" spans="1:8" s="149" customFormat="1" ht="15.75" x14ac:dyDescent="0.25">
      <c r="A38" s="583"/>
      <c r="B38" s="155" t="s">
        <v>202</v>
      </c>
      <c r="C38" s="144"/>
      <c r="D38" s="145"/>
      <c r="E38" s="145"/>
      <c r="F38" s="146"/>
      <c r="G38" s="147">
        <f t="shared" si="1"/>
        <v>0</v>
      </c>
      <c r="H38" s="148"/>
    </row>
    <row r="39" spans="1:8" s="149" customFormat="1" ht="15.75" x14ac:dyDescent="0.25">
      <c r="A39" s="583"/>
      <c r="B39" s="153" t="s">
        <v>203</v>
      </c>
      <c r="C39" s="144" t="s">
        <v>199</v>
      </c>
      <c r="D39" s="145" t="s">
        <v>341</v>
      </c>
      <c r="E39" s="145"/>
      <c r="F39" s="146">
        <v>40</v>
      </c>
      <c r="G39" s="147">
        <f t="shared" si="1"/>
        <v>42</v>
      </c>
      <c r="H39" s="148" t="s">
        <v>340</v>
      </c>
    </row>
    <row r="40" spans="1:8" s="149" customFormat="1" ht="15.75" x14ac:dyDescent="0.25">
      <c r="A40" s="583"/>
      <c r="B40" s="155" t="s">
        <v>204</v>
      </c>
      <c r="C40" s="144"/>
      <c r="D40" s="145"/>
      <c r="E40" s="145"/>
      <c r="F40" s="146"/>
      <c r="G40" s="147">
        <f t="shared" si="1"/>
        <v>0</v>
      </c>
      <c r="H40" s="148"/>
    </row>
    <row r="41" spans="1:8" s="149" customFormat="1" ht="15.75" x14ac:dyDescent="0.25">
      <c r="A41" s="583"/>
      <c r="B41" s="153" t="s">
        <v>205</v>
      </c>
      <c r="C41" s="144" t="s">
        <v>206</v>
      </c>
      <c r="D41" s="219" t="s">
        <v>77</v>
      </c>
      <c r="E41" s="145"/>
      <c r="F41" s="146">
        <v>1.5</v>
      </c>
      <c r="G41" s="147">
        <f t="shared" si="1"/>
        <v>1.575</v>
      </c>
      <c r="H41" s="148" t="s">
        <v>495</v>
      </c>
    </row>
    <row r="42" spans="1:8" s="149" customFormat="1" ht="15.75" x14ac:dyDescent="0.25">
      <c r="A42" s="576" t="s">
        <v>207</v>
      </c>
      <c r="B42" s="143" t="s">
        <v>208</v>
      </c>
      <c r="C42" s="144"/>
      <c r="D42" s="145"/>
      <c r="E42" s="145"/>
      <c r="F42" s="146"/>
      <c r="G42" s="147">
        <f t="shared" si="1"/>
        <v>0</v>
      </c>
      <c r="H42" s="148"/>
    </row>
    <row r="43" spans="1:8" s="149" customFormat="1" ht="15.75" x14ac:dyDescent="0.25">
      <c r="A43" s="577"/>
      <c r="B43" s="150" t="s">
        <v>209</v>
      </c>
      <c r="C43" s="144"/>
      <c r="D43" s="145"/>
      <c r="E43" s="145"/>
      <c r="F43" s="146"/>
      <c r="G43" s="147">
        <f t="shared" si="1"/>
        <v>0</v>
      </c>
      <c r="H43" s="148"/>
    </row>
    <row r="44" spans="1:8" s="149" customFormat="1" ht="15.75" x14ac:dyDescent="0.25">
      <c r="A44" s="577"/>
      <c r="B44" s="151" t="s">
        <v>210</v>
      </c>
      <c r="C44" s="144" t="s">
        <v>179</v>
      </c>
      <c r="D44" s="145"/>
      <c r="E44" s="145"/>
      <c r="F44" s="146"/>
      <c r="G44" s="147">
        <f t="shared" si="1"/>
        <v>0</v>
      </c>
      <c r="H44" s="148"/>
    </row>
    <row r="45" spans="1:8" s="149" customFormat="1" ht="15.75" x14ac:dyDescent="0.25">
      <c r="A45" s="577"/>
      <c r="B45" s="153" t="s">
        <v>211</v>
      </c>
      <c r="C45" s="144" t="s">
        <v>212</v>
      </c>
      <c r="D45" s="219" t="s">
        <v>339</v>
      </c>
      <c r="E45" s="219" t="s">
        <v>338</v>
      </c>
      <c r="F45" s="146">
        <v>14</v>
      </c>
      <c r="G45" s="147">
        <f t="shared" si="1"/>
        <v>14.7</v>
      </c>
      <c r="H45" s="148" t="s">
        <v>337</v>
      </c>
    </row>
    <row r="46" spans="1:8" s="149" customFormat="1" ht="15.75" x14ac:dyDescent="0.25">
      <c r="A46" s="584" t="s">
        <v>213</v>
      </c>
      <c r="B46" s="143" t="s">
        <v>214</v>
      </c>
      <c r="C46" s="144"/>
      <c r="D46" s="145"/>
      <c r="E46" s="145"/>
      <c r="F46" s="146"/>
      <c r="G46" s="147">
        <f t="shared" si="1"/>
        <v>0</v>
      </c>
      <c r="H46" s="148"/>
    </row>
    <row r="47" spans="1:8" s="149" customFormat="1" ht="15.75" x14ac:dyDescent="0.25">
      <c r="A47" s="584"/>
      <c r="B47" s="150" t="s">
        <v>215</v>
      </c>
      <c r="C47" s="144"/>
      <c r="D47" s="145"/>
      <c r="E47" s="145"/>
      <c r="F47" s="146"/>
      <c r="G47" s="147">
        <f t="shared" si="1"/>
        <v>0</v>
      </c>
      <c r="H47" s="148"/>
    </row>
    <row r="48" spans="1:8" s="149" customFormat="1" ht="15.75" x14ac:dyDescent="0.25">
      <c r="A48" s="584"/>
      <c r="B48" s="151" t="s">
        <v>216</v>
      </c>
      <c r="C48" s="144" t="s">
        <v>217</v>
      </c>
      <c r="D48" s="145" t="s">
        <v>336</v>
      </c>
      <c r="E48" s="145"/>
      <c r="F48" s="146">
        <v>60.95</v>
      </c>
      <c r="G48" s="147">
        <f t="shared" ref="G48:G79" si="2">F48+(F48*0.05)</f>
        <v>63.997500000000002</v>
      </c>
      <c r="H48" s="148" t="s">
        <v>334</v>
      </c>
    </row>
    <row r="49" spans="1:8" s="149" customFormat="1" ht="15.75" x14ac:dyDescent="0.25">
      <c r="A49" s="584"/>
      <c r="B49" s="153" t="s">
        <v>218</v>
      </c>
      <c r="C49" s="144" t="s">
        <v>219</v>
      </c>
      <c r="D49" s="145"/>
      <c r="E49" s="145"/>
      <c r="F49" s="146"/>
      <c r="G49" s="147">
        <f t="shared" si="2"/>
        <v>0</v>
      </c>
      <c r="H49" s="148"/>
    </row>
    <row r="50" spans="1:8" s="149" customFormat="1" ht="15.75" x14ac:dyDescent="0.25">
      <c r="A50" s="584"/>
      <c r="B50" s="153" t="s">
        <v>220</v>
      </c>
      <c r="C50" s="144" t="s">
        <v>221</v>
      </c>
      <c r="D50" s="145"/>
      <c r="E50" s="145"/>
      <c r="F50" s="146"/>
      <c r="G50" s="147">
        <f t="shared" si="2"/>
        <v>0</v>
      </c>
      <c r="H50" s="148"/>
    </row>
    <row r="51" spans="1:8" s="149" customFormat="1" ht="15.75" x14ac:dyDescent="0.25">
      <c r="A51" s="584"/>
      <c r="B51" s="150" t="s">
        <v>222</v>
      </c>
      <c r="C51" s="144"/>
      <c r="D51" s="145"/>
      <c r="E51" s="145"/>
      <c r="F51" s="146"/>
      <c r="G51" s="147">
        <f t="shared" si="2"/>
        <v>0</v>
      </c>
      <c r="H51" s="148"/>
    </row>
    <row r="52" spans="1:8" s="149" customFormat="1" ht="15.75" x14ac:dyDescent="0.25">
      <c r="A52" s="584"/>
      <c r="B52" s="153" t="s">
        <v>223</v>
      </c>
      <c r="C52" s="144" t="s">
        <v>217</v>
      </c>
      <c r="D52" s="145" t="s">
        <v>335</v>
      </c>
      <c r="E52" s="145"/>
      <c r="F52" s="146">
        <v>74.5</v>
      </c>
      <c r="G52" s="147">
        <f t="shared" si="2"/>
        <v>78.224999999999994</v>
      </c>
      <c r="H52" s="148" t="s">
        <v>334</v>
      </c>
    </row>
    <row r="53" spans="1:8" s="149" customFormat="1" ht="15.75" x14ac:dyDescent="0.25">
      <c r="A53" s="584"/>
      <c r="B53" s="153" t="s">
        <v>224</v>
      </c>
      <c r="C53" s="144" t="s">
        <v>219</v>
      </c>
      <c r="D53" s="145"/>
      <c r="E53" s="145"/>
      <c r="F53" s="146"/>
      <c r="G53" s="147">
        <f t="shared" si="2"/>
        <v>0</v>
      </c>
      <c r="H53" s="148"/>
    </row>
    <row r="54" spans="1:8" s="149" customFormat="1" ht="15.75" x14ac:dyDescent="0.25">
      <c r="A54" s="584"/>
      <c r="B54" s="153" t="s">
        <v>225</v>
      </c>
      <c r="C54" s="144" t="s">
        <v>226</v>
      </c>
      <c r="D54" s="145"/>
      <c r="E54" s="145"/>
      <c r="F54" s="146"/>
      <c r="G54" s="147">
        <f t="shared" si="2"/>
        <v>0</v>
      </c>
      <c r="H54" s="148"/>
    </row>
    <row r="55" spans="1:8" s="149" customFormat="1" ht="15.75" x14ac:dyDescent="0.25">
      <c r="A55" s="584"/>
      <c r="B55" s="150" t="s">
        <v>227</v>
      </c>
      <c r="C55" s="144"/>
      <c r="D55" s="145"/>
      <c r="E55" s="145"/>
      <c r="F55" s="146"/>
      <c r="G55" s="147">
        <f t="shared" si="2"/>
        <v>0</v>
      </c>
      <c r="H55" s="148"/>
    </row>
    <row r="56" spans="1:8" s="149" customFormat="1" ht="15.75" x14ac:dyDescent="0.25">
      <c r="A56" s="584"/>
      <c r="B56" s="153" t="s">
        <v>227</v>
      </c>
      <c r="C56" s="144" t="s">
        <v>226</v>
      </c>
      <c r="D56" s="145" t="s">
        <v>77</v>
      </c>
      <c r="E56" s="145"/>
      <c r="F56" s="146">
        <v>13.72</v>
      </c>
      <c r="G56" s="147">
        <f t="shared" si="2"/>
        <v>14.406000000000001</v>
      </c>
      <c r="H56" s="148" t="s">
        <v>333</v>
      </c>
    </row>
    <row r="57" spans="1:8" s="149" customFormat="1" ht="15.75" x14ac:dyDescent="0.25">
      <c r="A57" s="584"/>
      <c r="B57" s="150" t="s">
        <v>228</v>
      </c>
      <c r="C57" s="144"/>
      <c r="D57" s="145"/>
      <c r="E57" s="145"/>
      <c r="F57" s="146"/>
      <c r="G57" s="147">
        <f t="shared" si="2"/>
        <v>0</v>
      </c>
      <c r="H57" s="148"/>
    </row>
    <row r="58" spans="1:8" s="149" customFormat="1" ht="15.75" x14ac:dyDescent="0.25">
      <c r="A58" s="584"/>
      <c r="B58" s="153" t="s">
        <v>332</v>
      </c>
      <c r="C58" s="144" t="s">
        <v>171</v>
      </c>
      <c r="D58" s="165" t="s">
        <v>77</v>
      </c>
      <c r="E58" s="168"/>
      <c r="F58" s="183">
        <v>1.5</v>
      </c>
      <c r="G58" s="147">
        <f t="shared" si="2"/>
        <v>1.575</v>
      </c>
      <c r="H58" s="221" t="s">
        <v>331</v>
      </c>
    </row>
    <row r="59" spans="1:8" s="149" customFormat="1" ht="15.75" x14ac:dyDescent="0.25">
      <c r="A59" s="584"/>
      <c r="B59" s="151" t="s">
        <v>229</v>
      </c>
      <c r="C59" s="144" t="s">
        <v>171</v>
      </c>
      <c r="D59" s="168" t="s">
        <v>330</v>
      </c>
      <c r="E59" s="168"/>
      <c r="F59" s="183">
        <v>78.42</v>
      </c>
      <c r="G59" s="147">
        <f t="shared" si="2"/>
        <v>82.341000000000008</v>
      </c>
      <c r="H59" s="149" t="s">
        <v>329</v>
      </c>
    </row>
    <row r="60" spans="1:8" s="149" customFormat="1" ht="15.75" x14ac:dyDescent="0.25">
      <c r="A60" s="584"/>
      <c r="B60" s="150" t="s">
        <v>230</v>
      </c>
      <c r="C60" s="144"/>
      <c r="D60" s="145"/>
      <c r="E60" s="145"/>
      <c r="F60" s="146"/>
      <c r="G60" s="147">
        <f t="shared" si="2"/>
        <v>0</v>
      </c>
      <c r="H60" s="148"/>
    </row>
    <row r="61" spans="1:8" s="149" customFormat="1" ht="15.75" x14ac:dyDescent="0.25">
      <c r="A61" s="584"/>
      <c r="B61" s="153" t="s">
        <v>231</v>
      </c>
      <c r="C61" s="144" t="s">
        <v>171</v>
      </c>
      <c r="D61" s="145"/>
      <c r="E61" s="145"/>
      <c r="F61" s="146"/>
      <c r="G61" s="147">
        <f t="shared" si="2"/>
        <v>0</v>
      </c>
      <c r="H61" s="148"/>
    </row>
    <row r="62" spans="1:8" s="149" customFormat="1" ht="15.75" x14ac:dyDescent="0.25">
      <c r="A62" s="584"/>
      <c r="B62" s="150" t="s">
        <v>232</v>
      </c>
      <c r="C62" s="144"/>
      <c r="D62" s="145"/>
      <c r="E62" s="145"/>
      <c r="F62" s="146"/>
      <c r="G62" s="147">
        <f t="shared" si="2"/>
        <v>0</v>
      </c>
      <c r="H62" s="148"/>
    </row>
    <row r="63" spans="1:8" s="149" customFormat="1" ht="15.75" x14ac:dyDescent="0.25">
      <c r="A63" s="584"/>
      <c r="B63" s="153" t="s">
        <v>233</v>
      </c>
      <c r="C63" s="144" t="s">
        <v>171</v>
      </c>
      <c r="D63" s="145"/>
      <c r="E63" s="145"/>
      <c r="F63" s="146">
        <v>4</v>
      </c>
      <c r="G63" s="147">
        <f t="shared" si="2"/>
        <v>4.2</v>
      </c>
      <c r="H63" s="148" t="s">
        <v>493</v>
      </c>
    </row>
    <row r="64" spans="1:8" s="149" customFormat="1" ht="15.75" x14ac:dyDescent="0.25">
      <c r="A64" s="584"/>
      <c r="B64" s="150" t="s">
        <v>234</v>
      </c>
      <c r="C64" s="144"/>
      <c r="D64" s="145"/>
      <c r="E64" s="145"/>
      <c r="F64" s="146"/>
      <c r="G64" s="147">
        <f t="shared" si="2"/>
        <v>0</v>
      </c>
      <c r="H64" s="148"/>
    </row>
    <row r="65" spans="1:8" s="149" customFormat="1" ht="15.75" x14ac:dyDescent="0.25">
      <c r="A65" s="584"/>
      <c r="B65" s="153" t="s">
        <v>235</v>
      </c>
      <c r="C65" s="144" t="s">
        <v>236</v>
      </c>
      <c r="D65" s="145" t="s">
        <v>77</v>
      </c>
      <c r="E65" s="145"/>
      <c r="F65" s="146">
        <v>75.09</v>
      </c>
      <c r="G65" s="147">
        <f t="shared" si="2"/>
        <v>78.844500000000011</v>
      </c>
      <c r="H65" s="224" t="s">
        <v>328</v>
      </c>
    </row>
    <row r="66" spans="1:8" s="149" customFormat="1" ht="15.75" x14ac:dyDescent="0.25">
      <c r="A66" s="584"/>
      <c r="B66" s="153" t="s">
        <v>237</v>
      </c>
      <c r="C66" s="144" t="s">
        <v>238</v>
      </c>
      <c r="D66" s="145"/>
      <c r="E66" s="145"/>
      <c r="F66" s="146"/>
      <c r="G66" s="147">
        <f t="shared" si="2"/>
        <v>0</v>
      </c>
      <c r="H66" s="148"/>
    </row>
    <row r="67" spans="1:8" s="149" customFormat="1" ht="15.75" x14ac:dyDescent="0.25">
      <c r="A67" s="576" t="s">
        <v>239</v>
      </c>
      <c r="B67" s="143" t="s">
        <v>5</v>
      </c>
      <c r="C67" s="144"/>
      <c r="D67" s="145"/>
      <c r="E67" s="145"/>
      <c r="F67" s="146"/>
      <c r="G67" s="147">
        <f t="shared" si="2"/>
        <v>0</v>
      </c>
      <c r="H67" s="148"/>
    </row>
    <row r="68" spans="1:8" s="149" customFormat="1" ht="15.75" x14ac:dyDescent="0.25">
      <c r="A68" s="577"/>
      <c r="B68" s="150" t="s">
        <v>241</v>
      </c>
      <c r="C68" s="144"/>
      <c r="D68" s="145"/>
      <c r="E68" s="145"/>
      <c r="F68" s="146"/>
      <c r="G68" s="147">
        <f t="shared" si="2"/>
        <v>0</v>
      </c>
      <c r="H68" s="148"/>
    </row>
    <row r="69" spans="1:8" s="149" customFormat="1" ht="15.75" x14ac:dyDescent="0.25">
      <c r="A69" s="577"/>
      <c r="B69" s="153" t="s">
        <v>242</v>
      </c>
      <c r="C69" s="144" t="s">
        <v>243</v>
      </c>
      <c r="D69" s="145" t="s">
        <v>327</v>
      </c>
      <c r="E69" s="145"/>
      <c r="F69" s="146">
        <v>6.09</v>
      </c>
      <c r="G69" s="147">
        <f t="shared" si="2"/>
        <v>6.3944999999999999</v>
      </c>
      <c r="H69" s="148" t="s">
        <v>326</v>
      </c>
    </row>
    <row r="70" spans="1:8" s="149" customFormat="1" ht="15.75" x14ac:dyDescent="0.25">
      <c r="A70" s="577"/>
      <c r="B70" s="153" t="s">
        <v>244</v>
      </c>
      <c r="C70" s="144" t="s">
        <v>245</v>
      </c>
      <c r="D70" s="145"/>
      <c r="E70" s="145"/>
      <c r="F70" s="146"/>
      <c r="G70" s="147">
        <f t="shared" si="2"/>
        <v>0</v>
      </c>
      <c r="H70" s="148"/>
    </row>
    <row r="71" spans="1:8" s="149" customFormat="1" ht="15.75" x14ac:dyDescent="0.25">
      <c r="A71" s="577"/>
      <c r="B71" s="150" t="s">
        <v>246</v>
      </c>
      <c r="C71" s="144"/>
      <c r="D71" s="145"/>
      <c r="E71" s="145"/>
      <c r="F71" s="146"/>
      <c r="G71" s="147">
        <f t="shared" si="2"/>
        <v>0</v>
      </c>
      <c r="H71" s="148"/>
    </row>
    <row r="72" spans="1:8" s="149" customFormat="1" ht="15.75" x14ac:dyDescent="0.25">
      <c r="A72" s="577"/>
      <c r="B72" s="153" t="s">
        <v>247</v>
      </c>
      <c r="C72" s="144" t="s">
        <v>240</v>
      </c>
      <c r="D72" s="145" t="s">
        <v>308</v>
      </c>
      <c r="E72" s="145" t="s">
        <v>325</v>
      </c>
      <c r="F72" s="146"/>
      <c r="G72" s="147">
        <f t="shared" si="2"/>
        <v>0</v>
      </c>
      <c r="H72" s="148"/>
    </row>
    <row r="73" spans="1:8" s="149" customFormat="1" ht="15.75" x14ac:dyDescent="0.25">
      <c r="A73" s="577"/>
      <c r="B73" s="150" t="s">
        <v>248</v>
      </c>
      <c r="C73" s="144"/>
      <c r="D73" s="145"/>
      <c r="E73" s="145"/>
      <c r="F73" s="146"/>
      <c r="G73" s="147">
        <f t="shared" si="2"/>
        <v>0</v>
      </c>
      <c r="H73" s="148"/>
    </row>
    <row r="74" spans="1:8" s="149" customFormat="1" ht="15.75" x14ac:dyDescent="0.25">
      <c r="A74" s="577"/>
      <c r="B74" s="153" t="s">
        <v>249</v>
      </c>
      <c r="C74" s="144" t="s">
        <v>217</v>
      </c>
      <c r="D74" s="145" t="s">
        <v>324</v>
      </c>
      <c r="E74" s="145"/>
      <c r="F74" s="146">
        <v>221</v>
      </c>
      <c r="G74" s="147">
        <f t="shared" si="2"/>
        <v>232.05</v>
      </c>
      <c r="H74" s="148" t="s">
        <v>323</v>
      </c>
    </row>
    <row r="75" spans="1:8" s="149" customFormat="1" ht="15.75" x14ac:dyDescent="0.25">
      <c r="A75" s="577"/>
      <c r="B75" s="153" t="s">
        <v>250</v>
      </c>
      <c r="C75" s="144" t="s">
        <v>251</v>
      </c>
      <c r="D75" s="145"/>
      <c r="E75" s="145"/>
      <c r="F75" s="146"/>
      <c r="G75" s="147">
        <f t="shared" si="2"/>
        <v>0</v>
      </c>
      <c r="H75" s="148"/>
    </row>
    <row r="76" spans="1:8" s="149" customFormat="1" ht="15.75" x14ac:dyDescent="0.25">
      <c r="A76" s="577"/>
      <c r="B76" s="153" t="s">
        <v>252</v>
      </c>
      <c r="C76" s="144" t="s">
        <v>226</v>
      </c>
      <c r="D76" s="145"/>
      <c r="E76" s="145"/>
      <c r="F76" s="146"/>
      <c r="G76" s="147">
        <f t="shared" si="2"/>
        <v>0</v>
      </c>
      <c r="H76" s="148"/>
    </row>
    <row r="77" spans="1:8" s="149" customFormat="1" ht="15.75" x14ac:dyDescent="0.25">
      <c r="A77" s="576" t="s">
        <v>253</v>
      </c>
      <c r="B77" s="143" t="s">
        <v>7</v>
      </c>
      <c r="C77" s="144"/>
      <c r="D77" s="145"/>
      <c r="E77" s="145"/>
      <c r="F77" s="146"/>
      <c r="G77" s="147">
        <f t="shared" si="2"/>
        <v>0</v>
      </c>
      <c r="H77" s="148"/>
    </row>
    <row r="78" spans="1:8" s="149" customFormat="1" ht="15.75" x14ac:dyDescent="0.25">
      <c r="A78" s="577"/>
      <c r="B78" s="150" t="s">
        <v>254</v>
      </c>
      <c r="C78" s="144"/>
      <c r="D78" s="145"/>
      <c r="E78" s="145"/>
      <c r="F78" s="146"/>
      <c r="G78" s="147">
        <f t="shared" si="2"/>
        <v>0</v>
      </c>
      <c r="H78" s="148"/>
    </row>
    <row r="79" spans="1:8" s="149" customFormat="1" ht="15.75" x14ac:dyDescent="0.25">
      <c r="A79" s="577"/>
      <c r="B79" s="216" t="s">
        <v>255</v>
      </c>
      <c r="C79" s="220" t="s">
        <v>322</v>
      </c>
      <c r="D79" s="219" t="s">
        <v>320</v>
      </c>
      <c r="E79" s="145"/>
      <c r="F79" s="146">
        <v>16.29</v>
      </c>
      <c r="G79" s="147">
        <f t="shared" si="2"/>
        <v>17.104499999999998</v>
      </c>
      <c r="H79" s="148" t="s">
        <v>321</v>
      </c>
    </row>
    <row r="80" spans="1:8" s="149" customFormat="1" ht="15.75" x14ac:dyDescent="0.25">
      <c r="A80" s="577"/>
      <c r="B80" s="216" t="s">
        <v>256</v>
      </c>
      <c r="C80" s="144" t="s">
        <v>257</v>
      </c>
      <c r="D80" s="219" t="s">
        <v>320</v>
      </c>
      <c r="E80" s="145"/>
      <c r="F80" s="146">
        <v>13.82</v>
      </c>
      <c r="G80" s="147">
        <f t="shared" ref="G80:G109" si="3">F80+(F80*0.05)</f>
        <v>14.511000000000001</v>
      </c>
      <c r="H80" s="148" t="s">
        <v>319</v>
      </c>
    </row>
    <row r="81" spans="1:8" s="149" customFormat="1" ht="15.75" x14ac:dyDescent="0.25">
      <c r="A81" s="577"/>
      <c r="B81" s="150" t="s">
        <v>169</v>
      </c>
      <c r="C81" s="144"/>
      <c r="D81" s="145"/>
      <c r="E81" s="145"/>
      <c r="F81" s="146"/>
      <c r="G81" s="147">
        <f t="shared" si="3"/>
        <v>0</v>
      </c>
      <c r="H81" s="148"/>
    </row>
    <row r="82" spans="1:8" s="149" customFormat="1" ht="15.75" customHeight="1" x14ac:dyDescent="0.25">
      <c r="A82" s="577"/>
      <c r="B82" s="216" t="s">
        <v>170</v>
      </c>
      <c r="C82" s="176" t="s">
        <v>171</v>
      </c>
      <c r="D82" s="219" t="s">
        <v>318</v>
      </c>
      <c r="E82" s="219" t="s">
        <v>317</v>
      </c>
      <c r="F82" s="146">
        <v>39.99</v>
      </c>
      <c r="G82" s="147">
        <f t="shared" si="3"/>
        <v>41.9895</v>
      </c>
      <c r="H82" s="148" t="s">
        <v>316</v>
      </c>
    </row>
    <row r="83" spans="1:8" s="149" customFormat="1" ht="15.75" x14ac:dyDescent="0.25">
      <c r="A83" s="577"/>
      <c r="B83" s="153" t="s">
        <v>258</v>
      </c>
      <c r="C83" s="144" t="s">
        <v>194</v>
      </c>
      <c r="D83" s="145"/>
      <c r="E83" s="145"/>
      <c r="F83" s="146"/>
      <c r="G83" s="147">
        <f t="shared" si="3"/>
        <v>0</v>
      </c>
      <c r="H83" s="148"/>
    </row>
    <row r="84" spans="1:8" s="149" customFormat="1" ht="15.75" x14ac:dyDescent="0.25">
      <c r="A84" s="577"/>
      <c r="B84" s="150" t="s">
        <v>259</v>
      </c>
      <c r="C84" s="144"/>
      <c r="D84" s="145"/>
      <c r="E84" s="145"/>
      <c r="F84" s="146"/>
      <c r="G84" s="147">
        <f t="shared" si="3"/>
        <v>0</v>
      </c>
      <c r="H84" s="148"/>
    </row>
    <row r="85" spans="1:8" s="149" customFormat="1" ht="15.75" x14ac:dyDescent="0.25">
      <c r="A85" s="577"/>
      <c r="B85" s="153" t="s">
        <v>260</v>
      </c>
      <c r="C85" s="144" t="s">
        <v>261</v>
      </c>
      <c r="D85" s="145"/>
      <c r="E85" s="145"/>
      <c r="F85" s="146"/>
      <c r="G85" s="147">
        <f t="shared" si="3"/>
        <v>0</v>
      </c>
      <c r="H85" s="148"/>
    </row>
    <row r="86" spans="1:8" s="149" customFormat="1" ht="15.75" x14ac:dyDescent="0.25">
      <c r="A86" s="577"/>
      <c r="B86" s="153" t="s">
        <v>262</v>
      </c>
      <c r="C86" s="144" t="s">
        <v>263</v>
      </c>
      <c r="D86" s="165" t="s">
        <v>315</v>
      </c>
      <c r="E86" s="165" t="s">
        <v>314</v>
      </c>
      <c r="F86" s="166">
        <v>159</v>
      </c>
      <c r="G86" s="147">
        <f t="shared" si="3"/>
        <v>166.95</v>
      </c>
      <c r="H86" s="148" t="s">
        <v>313</v>
      </c>
    </row>
    <row r="87" spans="1:8" s="149" customFormat="1" ht="15.75" x14ac:dyDescent="0.25">
      <c r="A87" s="577"/>
      <c r="B87" s="153" t="s">
        <v>264</v>
      </c>
      <c r="C87" s="144" t="s">
        <v>265</v>
      </c>
      <c r="D87" s="145"/>
      <c r="E87" s="145"/>
      <c r="F87" s="146"/>
      <c r="G87" s="147">
        <f t="shared" si="3"/>
        <v>0</v>
      </c>
      <c r="H87" s="148"/>
    </row>
    <row r="88" spans="1:8" s="149" customFormat="1" ht="15.75" x14ac:dyDescent="0.25">
      <c r="A88" s="576" t="s">
        <v>266</v>
      </c>
      <c r="B88" s="143" t="s">
        <v>8</v>
      </c>
      <c r="C88" s="144"/>
      <c r="D88" s="145"/>
      <c r="E88" s="145"/>
      <c r="F88" s="146"/>
      <c r="G88" s="147">
        <f t="shared" si="3"/>
        <v>0</v>
      </c>
      <c r="H88" s="148"/>
    </row>
    <row r="89" spans="1:8" s="149" customFormat="1" ht="15.75" x14ac:dyDescent="0.25">
      <c r="A89" s="577"/>
      <c r="B89" s="150" t="s">
        <v>267</v>
      </c>
      <c r="C89" s="144"/>
      <c r="D89" s="145"/>
      <c r="E89" s="145"/>
      <c r="F89" s="146"/>
      <c r="G89" s="147">
        <f t="shared" si="3"/>
        <v>0</v>
      </c>
      <c r="H89" s="148"/>
    </row>
    <row r="90" spans="1:8" s="149" customFormat="1" ht="15.75" x14ac:dyDescent="0.25">
      <c r="A90" s="577"/>
      <c r="B90" s="151" t="s">
        <v>268</v>
      </c>
      <c r="C90" s="144" t="s">
        <v>162</v>
      </c>
      <c r="D90" s="145"/>
      <c r="E90" s="145"/>
      <c r="F90" s="146"/>
      <c r="G90" s="147">
        <f t="shared" si="3"/>
        <v>0</v>
      </c>
      <c r="H90" s="148"/>
    </row>
    <row r="91" spans="1:8" s="149" customFormat="1" ht="15.75" x14ac:dyDescent="0.25">
      <c r="A91" s="577"/>
      <c r="B91" s="151" t="s">
        <v>267</v>
      </c>
      <c r="C91" s="144" t="s">
        <v>269</v>
      </c>
      <c r="D91" s="145"/>
      <c r="E91" s="145"/>
      <c r="F91" s="146"/>
      <c r="G91" s="147">
        <f t="shared" si="3"/>
        <v>0</v>
      </c>
      <c r="H91" s="148"/>
    </row>
    <row r="92" spans="1:8" s="149" customFormat="1" ht="15.75" x14ac:dyDescent="0.25">
      <c r="A92" s="577"/>
      <c r="B92" s="152" t="s">
        <v>270</v>
      </c>
      <c r="C92" s="144"/>
      <c r="D92" s="145"/>
      <c r="E92" s="145"/>
      <c r="F92" s="146"/>
      <c r="G92" s="147">
        <f t="shared" si="3"/>
        <v>0</v>
      </c>
      <c r="H92" s="148"/>
    </row>
    <row r="93" spans="1:8" s="149" customFormat="1" ht="15.75" x14ac:dyDescent="0.25">
      <c r="A93" s="577"/>
      <c r="B93" s="151" t="s">
        <v>271</v>
      </c>
      <c r="C93" s="144" t="s">
        <v>162</v>
      </c>
      <c r="D93" s="145"/>
      <c r="E93" s="145"/>
      <c r="F93" s="146"/>
      <c r="G93" s="147">
        <f t="shared" si="3"/>
        <v>0</v>
      </c>
      <c r="H93" s="148"/>
    </row>
    <row r="94" spans="1:8" s="149" customFormat="1" ht="15.75" x14ac:dyDescent="0.25">
      <c r="A94" s="577"/>
      <c r="B94" s="151" t="s">
        <v>270</v>
      </c>
      <c r="C94" s="144" t="s">
        <v>269</v>
      </c>
      <c r="D94" s="145"/>
      <c r="E94" s="145"/>
      <c r="F94" s="146"/>
      <c r="G94" s="147">
        <f t="shared" si="3"/>
        <v>0</v>
      </c>
      <c r="H94" s="148"/>
    </row>
    <row r="95" spans="1:8" s="149" customFormat="1" ht="15.75" x14ac:dyDescent="0.25">
      <c r="A95" s="577"/>
      <c r="B95" s="152" t="s">
        <v>272</v>
      </c>
      <c r="C95" s="156"/>
      <c r="D95" s="145"/>
      <c r="E95" s="145"/>
      <c r="F95" s="146"/>
      <c r="G95" s="147">
        <f t="shared" si="3"/>
        <v>0</v>
      </c>
      <c r="H95" s="148"/>
    </row>
    <row r="96" spans="1:8" s="149" customFormat="1" ht="15.75" x14ac:dyDescent="0.25">
      <c r="A96" s="577"/>
      <c r="B96" s="151" t="s">
        <v>273</v>
      </c>
      <c r="C96" s="144" t="s">
        <v>162</v>
      </c>
      <c r="D96" s="145"/>
      <c r="E96" s="145"/>
      <c r="F96" s="146"/>
      <c r="G96" s="147">
        <f t="shared" si="3"/>
        <v>0</v>
      </c>
      <c r="H96" s="148"/>
    </row>
    <row r="97" spans="1:8" s="149" customFormat="1" ht="15.75" x14ac:dyDescent="0.25">
      <c r="A97" s="577"/>
      <c r="B97" s="151" t="s">
        <v>274</v>
      </c>
      <c r="C97" s="144" t="s">
        <v>269</v>
      </c>
      <c r="D97" s="145"/>
      <c r="E97" s="145"/>
      <c r="F97" s="146"/>
      <c r="G97" s="147">
        <f t="shared" si="3"/>
        <v>0</v>
      </c>
      <c r="H97" s="148"/>
    </row>
    <row r="98" spans="1:8" s="149" customFormat="1" ht="15.75" x14ac:dyDescent="0.25">
      <c r="A98" s="576" t="s">
        <v>275</v>
      </c>
      <c r="B98" s="143" t="s">
        <v>276</v>
      </c>
      <c r="C98" s="144"/>
      <c r="D98" s="145"/>
      <c r="E98" s="145"/>
      <c r="F98" s="146"/>
      <c r="G98" s="147">
        <f t="shared" si="3"/>
        <v>0</v>
      </c>
      <c r="H98" s="148"/>
    </row>
    <row r="99" spans="1:8" s="149" customFormat="1" ht="15.75" x14ac:dyDescent="0.25">
      <c r="A99" s="577"/>
      <c r="B99" s="150" t="s">
        <v>277</v>
      </c>
      <c r="C99" s="144"/>
      <c r="D99" s="145"/>
      <c r="E99" s="145"/>
      <c r="F99" s="146"/>
      <c r="G99" s="147">
        <f t="shared" si="3"/>
        <v>0</v>
      </c>
      <c r="H99" s="148"/>
    </row>
    <row r="100" spans="1:8" s="149" customFormat="1" ht="15.75" x14ac:dyDescent="0.25">
      <c r="A100" s="577"/>
      <c r="B100" s="218" t="s">
        <v>278</v>
      </c>
      <c r="C100" s="217"/>
      <c r="D100" s="145"/>
      <c r="E100" s="145"/>
      <c r="F100" s="146"/>
      <c r="G100" s="147">
        <f t="shared" si="3"/>
        <v>0</v>
      </c>
      <c r="H100" s="148"/>
    </row>
    <row r="101" spans="1:8" s="149" customFormat="1" ht="15.75" x14ac:dyDescent="0.25">
      <c r="A101" s="577"/>
      <c r="B101" s="216" t="s">
        <v>279</v>
      </c>
      <c r="C101" s="578" t="s">
        <v>280</v>
      </c>
      <c r="D101" s="145" t="s">
        <v>308</v>
      </c>
      <c r="E101" s="145" t="s">
        <v>311</v>
      </c>
      <c r="F101" s="146">
        <v>248.19</v>
      </c>
      <c r="G101" s="147">
        <f t="shared" si="3"/>
        <v>260.59949999999998</v>
      </c>
      <c r="H101" s="148" t="s">
        <v>310</v>
      </c>
    </row>
    <row r="102" spans="1:8" s="149" customFormat="1" ht="15.75" x14ac:dyDescent="0.25">
      <c r="A102" s="577"/>
      <c r="B102" s="216" t="s">
        <v>312</v>
      </c>
      <c r="C102" s="579"/>
      <c r="D102" s="145" t="s">
        <v>308</v>
      </c>
      <c r="E102" s="145" t="s">
        <v>311</v>
      </c>
      <c r="F102" s="146">
        <v>248.19</v>
      </c>
      <c r="G102" s="147">
        <f t="shared" si="3"/>
        <v>260.59949999999998</v>
      </c>
      <c r="H102" s="148" t="s">
        <v>310</v>
      </c>
    </row>
    <row r="103" spans="1:8" s="149" customFormat="1" ht="15.75" x14ac:dyDescent="0.25">
      <c r="A103" s="577"/>
      <c r="B103" s="216" t="s">
        <v>309</v>
      </c>
      <c r="C103" s="580"/>
      <c r="D103" s="145" t="s">
        <v>308</v>
      </c>
      <c r="E103" s="145" t="s">
        <v>307</v>
      </c>
      <c r="F103" s="146">
        <v>198</v>
      </c>
      <c r="G103" s="147">
        <f t="shared" si="3"/>
        <v>207.9</v>
      </c>
      <c r="H103" s="148" t="s">
        <v>306</v>
      </c>
    </row>
    <row r="104" spans="1:8" s="149" customFormat="1" ht="15.75" x14ac:dyDescent="0.25">
      <c r="A104" s="577"/>
      <c r="B104" s="218" t="s">
        <v>305</v>
      </c>
      <c r="C104" s="217"/>
      <c r="D104" s="145"/>
      <c r="E104" s="145"/>
      <c r="F104" s="146"/>
      <c r="G104" s="147">
        <f t="shared" si="3"/>
        <v>0</v>
      </c>
      <c r="H104" s="148"/>
    </row>
    <row r="105" spans="1:8" s="149" customFormat="1" ht="15.75" customHeight="1" x14ac:dyDescent="0.25">
      <c r="A105" s="577"/>
      <c r="B105" s="216" t="s">
        <v>283</v>
      </c>
      <c r="C105" s="578" t="s">
        <v>284</v>
      </c>
      <c r="D105" s="145"/>
      <c r="E105" s="145"/>
      <c r="F105" s="146"/>
      <c r="G105" s="147">
        <f t="shared" si="3"/>
        <v>0</v>
      </c>
      <c r="H105" s="148"/>
    </row>
    <row r="106" spans="1:8" s="149" customFormat="1" ht="15.75" customHeight="1" x14ac:dyDescent="0.25">
      <c r="A106" s="577"/>
      <c r="B106" s="216" t="s">
        <v>304</v>
      </c>
      <c r="C106" s="579"/>
      <c r="D106" s="145"/>
      <c r="E106" s="145"/>
      <c r="F106" s="146"/>
      <c r="G106" s="147">
        <f t="shared" si="3"/>
        <v>0</v>
      </c>
      <c r="H106" s="148"/>
    </row>
    <row r="107" spans="1:8" s="149" customFormat="1" ht="15.75" x14ac:dyDescent="0.25">
      <c r="A107" s="577"/>
      <c r="B107" s="215" t="s">
        <v>303</v>
      </c>
      <c r="C107" s="580"/>
      <c r="D107" s="145"/>
      <c r="E107" s="145"/>
      <c r="F107" s="146"/>
      <c r="G107" s="147">
        <f t="shared" si="3"/>
        <v>0</v>
      </c>
      <c r="H107" s="148"/>
    </row>
    <row r="108" spans="1:8" s="149" customFormat="1" ht="15.75" x14ac:dyDescent="0.25">
      <c r="A108" s="576"/>
      <c r="B108" s="153"/>
      <c r="C108" s="144"/>
      <c r="D108" s="145"/>
      <c r="E108" s="145"/>
      <c r="F108" s="146"/>
      <c r="G108" s="147">
        <f t="shared" si="3"/>
        <v>0</v>
      </c>
      <c r="H108" s="148"/>
    </row>
    <row r="109" spans="1:8" s="149" customFormat="1" ht="15.75" x14ac:dyDescent="0.25">
      <c r="A109" s="577"/>
      <c r="B109" s="153"/>
      <c r="C109" s="144"/>
      <c r="D109" s="145"/>
      <c r="E109" s="145"/>
      <c r="F109" s="146"/>
      <c r="G109" s="147">
        <f t="shared" si="3"/>
        <v>0</v>
      </c>
      <c r="H109" s="148"/>
    </row>
    <row r="110" spans="1:8" s="149" customFormat="1" ht="15.75" x14ac:dyDescent="0.25">
      <c r="A110" s="577"/>
      <c r="B110" s="151"/>
      <c r="C110" s="154"/>
      <c r="D110" s="145"/>
      <c r="E110" s="145"/>
      <c r="F110" s="146"/>
      <c r="G110" s="147"/>
      <c r="H110" s="148"/>
    </row>
    <row r="111" spans="1:8" s="159" customFormat="1" x14ac:dyDescent="0.25">
      <c r="A111" s="157"/>
      <c r="B111" s="158" t="s">
        <v>285</v>
      </c>
      <c r="D111" s="160"/>
      <c r="E111" s="160"/>
      <c r="F111" s="161"/>
      <c r="G111" s="160"/>
      <c r="H111" s="162"/>
    </row>
    <row r="112" spans="1:8" s="149" customFormat="1" ht="15.75" x14ac:dyDescent="0.25">
      <c r="A112" s="163"/>
      <c r="B112" s="144" t="s">
        <v>293</v>
      </c>
      <c r="D112" s="401" t="s">
        <v>497</v>
      </c>
      <c r="E112" s="165"/>
      <c r="F112" s="166">
        <v>1</v>
      </c>
      <c r="G112" s="147">
        <f>F112+(F112*0.05)+0.25</f>
        <v>1.3</v>
      </c>
      <c r="H112" s="148" t="s">
        <v>419</v>
      </c>
    </row>
    <row r="113" spans="1:16" customFormat="1" ht="16.5" thickBot="1" x14ac:dyDescent="0.3">
      <c r="A113" s="169"/>
      <c r="B113" s="144" t="s">
        <v>295</v>
      </c>
      <c r="C113" s="170"/>
      <c r="D113" s="164" t="s">
        <v>77</v>
      </c>
      <c r="E113" s="169"/>
      <c r="F113" s="171">
        <v>1.35</v>
      </c>
      <c r="G113" s="147">
        <f t="shared" ref="G113:G141" si="4">F113+(F113*0.05)</f>
        <v>1.4175</v>
      </c>
      <c r="H113" s="172" t="s">
        <v>420</v>
      </c>
      <c r="I113" s="173"/>
      <c r="J113" s="173"/>
      <c r="K113" s="173"/>
      <c r="L113" s="173"/>
      <c r="M113" s="173"/>
      <c r="N113" s="173"/>
      <c r="O113" s="173"/>
      <c r="P113" s="172"/>
    </row>
    <row r="114" spans="1:16" s="149" customFormat="1" ht="16.5" thickBot="1" x14ac:dyDescent="0.3">
      <c r="A114" s="163"/>
      <c r="B114" s="75" t="s">
        <v>387</v>
      </c>
      <c r="D114" s="394" t="s">
        <v>421</v>
      </c>
      <c r="E114" s="394" t="s">
        <v>423</v>
      </c>
      <c r="F114" s="166">
        <v>4.9800000000000004</v>
      </c>
      <c r="G114" s="147">
        <f t="shared" si="4"/>
        <v>5.2290000000000001</v>
      </c>
      <c r="H114" s="148" t="s">
        <v>422</v>
      </c>
    </row>
    <row r="115" spans="1:16" s="149" customFormat="1" ht="16.5" thickBot="1" x14ac:dyDescent="0.3">
      <c r="A115" s="163"/>
      <c r="B115" s="144" t="s">
        <v>299</v>
      </c>
      <c r="C115" s="149" t="s">
        <v>424</v>
      </c>
      <c r="D115" s="167" t="s">
        <v>77</v>
      </c>
      <c r="E115" s="168"/>
      <c r="F115" s="166"/>
      <c r="G115" s="147">
        <f t="shared" si="4"/>
        <v>0</v>
      </c>
      <c r="H115" s="174"/>
    </row>
    <row r="116" spans="1:16" s="149" customFormat="1" ht="16.5" thickBot="1" x14ac:dyDescent="0.3">
      <c r="A116" s="163"/>
      <c r="B116" s="75" t="s">
        <v>517</v>
      </c>
      <c r="D116" s="167" t="s">
        <v>518</v>
      </c>
      <c r="E116" s="165"/>
      <c r="F116" s="166">
        <v>35.950000000000003</v>
      </c>
      <c r="G116" s="147">
        <f t="shared" si="4"/>
        <v>37.747500000000002</v>
      </c>
      <c r="H116" s="148" t="s">
        <v>516</v>
      </c>
    </row>
    <row r="117" spans="1:16" s="149" customFormat="1" ht="16.5" thickBot="1" x14ac:dyDescent="0.3">
      <c r="A117" s="163"/>
      <c r="B117" s="75" t="s">
        <v>297</v>
      </c>
      <c r="D117" s="167" t="s">
        <v>77</v>
      </c>
      <c r="E117" s="165"/>
      <c r="F117" s="166">
        <v>7</v>
      </c>
      <c r="G117" s="147">
        <f t="shared" si="4"/>
        <v>7.35</v>
      </c>
      <c r="H117" s="148" t="s">
        <v>426</v>
      </c>
    </row>
    <row r="118" spans="1:16" s="149" customFormat="1" ht="16.5" thickBot="1" x14ac:dyDescent="0.3">
      <c r="A118" s="163"/>
      <c r="B118" s="75" t="s">
        <v>394</v>
      </c>
      <c r="D118" s="395" t="s">
        <v>324</v>
      </c>
      <c r="E118" s="396"/>
      <c r="F118" s="166">
        <v>75.34</v>
      </c>
      <c r="G118" s="147">
        <f t="shared" si="4"/>
        <v>79.106999999999999</v>
      </c>
      <c r="H118" s="148" t="s">
        <v>427</v>
      </c>
    </row>
    <row r="119" spans="1:16" s="149" customFormat="1" ht="16.5" thickBot="1" x14ac:dyDescent="0.3">
      <c r="A119" s="163"/>
      <c r="B119" s="144" t="s">
        <v>300</v>
      </c>
      <c r="D119" s="167" t="s">
        <v>79</v>
      </c>
      <c r="E119" s="165"/>
      <c r="F119" s="166">
        <v>9.57</v>
      </c>
      <c r="G119" s="147">
        <f t="shared" si="4"/>
        <v>10.048500000000001</v>
      </c>
      <c r="H119" s="148" t="s">
        <v>428</v>
      </c>
    </row>
    <row r="120" spans="1:16" s="149" customFormat="1" ht="16.5" thickBot="1" x14ac:dyDescent="0.3">
      <c r="A120" s="163"/>
      <c r="B120" s="75" t="s">
        <v>301</v>
      </c>
      <c r="D120" s="395" t="s">
        <v>324</v>
      </c>
      <c r="E120" s="396"/>
      <c r="F120" s="166">
        <v>22.43</v>
      </c>
      <c r="G120" s="147">
        <f t="shared" si="4"/>
        <v>23.551500000000001</v>
      </c>
      <c r="H120" s="148" t="s">
        <v>429</v>
      </c>
    </row>
    <row r="121" spans="1:16" s="149" customFormat="1" ht="16.5" thickBot="1" x14ac:dyDescent="0.3">
      <c r="A121" s="163"/>
      <c r="B121" s="128" t="s">
        <v>397</v>
      </c>
      <c r="D121" s="395" t="s">
        <v>430</v>
      </c>
      <c r="E121" s="396" t="s">
        <v>431</v>
      </c>
      <c r="F121" s="166">
        <v>2.98</v>
      </c>
      <c r="G121" s="147">
        <f t="shared" si="4"/>
        <v>3.129</v>
      </c>
      <c r="H121" s="148" t="s">
        <v>432</v>
      </c>
    </row>
    <row r="122" spans="1:16" s="149" customFormat="1" ht="16.5" thickBot="1" x14ac:dyDescent="0.3">
      <c r="A122" s="163"/>
      <c r="B122" s="128" t="s">
        <v>398</v>
      </c>
      <c r="D122" s="395" t="s">
        <v>433</v>
      </c>
      <c r="E122" s="396" t="s">
        <v>434</v>
      </c>
      <c r="F122" s="166">
        <v>31.98</v>
      </c>
      <c r="G122" s="147">
        <f t="shared" si="4"/>
        <v>33.579000000000001</v>
      </c>
      <c r="H122" s="148" t="s">
        <v>435</v>
      </c>
    </row>
    <row r="123" spans="1:16" s="149" customFormat="1" ht="15.75" x14ac:dyDescent="0.25">
      <c r="A123" s="163"/>
      <c r="B123" s="144"/>
      <c r="D123" s="165"/>
      <c r="E123" s="165"/>
      <c r="F123" s="166"/>
      <c r="G123" s="147">
        <f t="shared" si="4"/>
        <v>0</v>
      </c>
      <c r="H123" s="175"/>
    </row>
    <row r="124" spans="1:16" s="149" customFormat="1" ht="15.75" x14ac:dyDescent="0.25">
      <c r="A124" s="163"/>
      <c r="B124" s="144"/>
      <c r="D124" s="168"/>
      <c r="E124" s="168"/>
      <c r="F124" s="166"/>
      <c r="G124" s="147">
        <f t="shared" si="4"/>
        <v>0</v>
      </c>
      <c r="H124" s="148"/>
    </row>
    <row r="125" spans="1:16" s="149" customFormat="1" ht="15.75" x14ac:dyDescent="0.25">
      <c r="A125" s="163"/>
      <c r="B125" s="144"/>
      <c r="D125" s="168"/>
      <c r="E125" s="168"/>
      <c r="F125" s="166"/>
      <c r="G125" s="147">
        <f t="shared" si="4"/>
        <v>0</v>
      </c>
      <c r="H125" s="148"/>
    </row>
    <row r="126" spans="1:16" s="149" customFormat="1" ht="15.75" x14ac:dyDescent="0.25">
      <c r="A126" s="163"/>
      <c r="B126" s="144"/>
      <c r="D126" s="168"/>
      <c r="E126" s="168"/>
      <c r="F126" s="166"/>
      <c r="G126" s="147">
        <f t="shared" si="4"/>
        <v>0</v>
      </c>
      <c r="H126" s="148"/>
    </row>
    <row r="127" spans="1:16" s="149" customFormat="1" ht="15.75" x14ac:dyDescent="0.25">
      <c r="A127" s="163"/>
      <c r="B127" s="144"/>
      <c r="D127" s="168"/>
      <c r="E127" s="168"/>
      <c r="F127" s="166"/>
      <c r="G127" s="147">
        <f t="shared" si="4"/>
        <v>0</v>
      </c>
      <c r="H127" s="148"/>
    </row>
    <row r="128" spans="1:16" s="149" customFormat="1" ht="15.75" x14ac:dyDescent="0.25">
      <c r="A128" s="163"/>
      <c r="B128" s="144"/>
      <c r="D128" s="168"/>
      <c r="E128" s="168"/>
      <c r="F128" s="166"/>
      <c r="G128" s="147">
        <f t="shared" si="4"/>
        <v>0</v>
      </c>
      <c r="H128" s="148"/>
    </row>
    <row r="129" spans="1:8" s="149" customFormat="1" ht="15.75" x14ac:dyDescent="0.25">
      <c r="A129" s="163"/>
      <c r="B129" s="144"/>
      <c r="D129" s="168"/>
      <c r="E129" s="168"/>
      <c r="F129" s="166"/>
      <c r="G129" s="147">
        <f t="shared" si="4"/>
        <v>0</v>
      </c>
      <c r="H129" s="148"/>
    </row>
    <row r="130" spans="1:8" s="149" customFormat="1" ht="15.75" x14ac:dyDescent="0.25">
      <c r="A130" s="163"/>
      <c r="B130" s="144"/>
      <c r="D130" s="168"/>
      <c r="E130" s="168"/>
      <c r="F130" s="166"/>
      <c r="G130" s="147">
        <f t="shared" si="4"/>
        <v>0</v>
      </c>
      <c r="H130" s="148"/>
    </row>
    <row r="131" spans="1:8" s="149" customFormat="1" ht="15.75" x14ac:dyDescent="0.25">
      <c r="A131" s="163"/>
      <c r="B131" s="144"/>
      <c r="D131" s="168"/>
      <c r="E131" s="168"/>
      <c r="F131" s="166"/>
      <c r="G131" s="147">
        <f t="shared" si="4"/>
        <v>0</v>
      </c>
      <c r="H131" s="148"/>
    </row>
    <row r="132" spans="1:8" s="149" customFormat="1" ht="15.75" x14ac:dyDescent="0.25">
      <c r="A132" s="163"/>
      <c r="B132" s="144"/>
      <c r="D132" s="168"/>
      <c r="E132" s="168"/>
      <c r="F132" s="166"/>
      <c r="G132" s="147">
        <f t="shared" si="4"/>
        <v>0</v>
      </c>
      <c r="H132" s="148"/>
    </row>
    <row r="133" spans="1:8" s="149" customFormat="1" ht="15.75" x14ac:dyDescent="0.25">
      <c r="A133" s="163"/>
      <c r="B133" s="144"/>
      <c r="D133" s="168"/>
      <c r="E133" s="168"/>
      <c r="F133" s="166"/>
      <c r="G133" s="147">
        <f t="shared" si="4"/>
        <v>0</v>
      </c>
      <c r="H133" s="148"/>
    </row>
    <row r="134" spans="1:8" s="149" customFormat="1" ht="15.75" x14ac:dyDescent="0.25">
      <c r="A134" s="163"/>
      <c r="B134" s="144"/>
      <c r="D134" s="168"/>
      <c r="E134" s="168"/>
      <c r="F134" s="166"/>
      <c r="G134" s="147">
        <f t="shared" si="4"/>
        <v>0</v>
      </c>
      <c r="H134" s="148"/>
    </row>
    <row r="135" spans="1:8" s="149" customFormat="1" ht="15.75" x14ac:dyDescent="0.25">
      <c r="A135" s="163"/>
      <c r="B135" s="144"/>
      <c r="D135" s="168"/>
      <c r="E135" s="168"/>
      <c r="F135" s="166"/>
      <c r="G135" s="147">
        <f t="shared" si="4"/>
        <v>0</v>
      </c>
      <c r="H135" s="148"/>
    </row>
    <row r="136" spans="1:8" s="149" customFormat="1" ht="15.75" x14ac:dyDescent="0.25">
      <c r="A136" s="163"/>
      <c r="B136" s="144"/>
      <c r="D136" s="168"/>
      <c r="E136" s="168"/>
      <c r="F136" s="166"/>
      <c r="G136" s="147">
        <f t="shared" si="4"/>
        <v>0</v>
      </c>
      <c r="H136" s="148"/>
    </row>
    <row r="137" spans="1:8" s="149" customFormat="1" ht="15.75" x14ac:dyDescent="0.25">
      <c r="A137" s="163"/>
      <c r="B137" s="144"/>
      <c r="D137" s="168"/>
      <c r="E137" s="168"/>
      <c r="F137" s="166"/>
      <c r="G137" s="147">
        <f t="shared" si="4"/>
        <v>0</v>
      </c>
      <c r="H137" s="148"/>
    </row>
    <row r="138" spans="1:8" s="149" customFormat="1" ht="15.75" x14ac:dyDescent="0.25">
      <c r="A138" s="163"/>
      <c r="B138" s="144"/>
      <c r="D138" s="168"/>
      <c r="E138" s="168"/>
      <c r="F138" s="166"/>
      <c r="G138" s="147">
        <f t="shared" si="4"/>
        <v>0</v>
      </c>
      <c r="H138" s="148"/>
    </row>
    <row r="139" spans="1:8" s="149" customFormat="1" ht="15.75" x14ac:dyDescent="0.25">
      <c r="A139" s="163"/>
      <c r="B139" s="144"/>
      <c r="D139" s="168"/>
      <c r="E139" s="168"/>
      <c r="F139" s="166"/>
      <c r="G139" s="147">
        <f t="shared" si="4"/>
        <v>0</v>
      </c>
      <c r="H139" s="148"/>
    </row>
    <row r="140" spans="1:8" s="149" customFormat="1" ht="15.75" x14ac:dyDescent="0.25">
      <c r="A140" s="163"/>
      <c r="B140" s="144"/>
      <c r="D140" s="168"/>
      <c r="E140" s="168"/>
      <c r="F140" s="166"/>
      <c r="G140" s="147">
        <f t="shared" si="4"/>
        <v>0</v>
      </c>
      <c r="H140" s="148"/>
    </row>
    <row r="141" spans="1:8" s="149" customFormat="1" ht="15.75" x14ac:dyDescent="0.25">
      <c r="A141" s="163"/>
      <c r="B141" s="144"/>
      <c r="D141" s="168"/>
      <c r="E141" s="168"/>
      <c r="F141" s="166"/>
      <c r="G141" s="147">
        <f t="shared" si="4"/>
        <v>0</v>
      </c>
      <c r="H141" s="148"/>
    </row>
    <row r="142" spans="1:8" s="149" customFormat="1" ht="15.75" x14ac:dyDescent="0.25">
      <c r="A142" s="163"/>
      <c r="B142" s="144"/>
      <c r="D142" s="168"/>
      <c r="E142" s="168"/>
      <c r="F142" s="166"/>
      <c r="G142" s="147">
        <f t="shared" ref="G142:G173" si="5">F142+(F142*0.05)</f>
        <v>0</v>
      </c>
      <c r="H142" s="148"/>
    </row>
    <row r="143" spans="1:8" s="149" customFormat="1" ht="15.75" x14ac:dyDescent="0.25">
      <c r="A143" s="163"/>
      <c r="B143" s="144"/>
      <c r="D143" s="168"/>
      <c r="E143" s="168"/>
      <c r="F143" s="166"/>
      <c r="G143" s="147">
        <f t="shared" si="5"/>
        <v>0</v>
      </c>
      <c r="H143" s="148"/>
    </row>
    <row r="144" spans="1:8" s="149" customFormat="1" ht="15.75" x14ac:dyDescent="0.25">
      <c r="A144" s="163"/>
      <c r="B144" s="144"/>
      <c r="D144" s="168"/>
      <c r="E144" s="168"/>
      <c r="F144" s="166"/>
      <c r="G144" s="147">
        <f t="shared" si="5"/>
        <v>0</v>
      </c>
      <c r="H144" s="148"/>
    </row>
    <row r="145" spans="1:8" s="149" customFormat="1" ht="15.75" x14ac:dyDescent="0.25">
      <c r="A145" s="163"/>
      <c r="B145" s="144"/>
      <c r="D145" s="168"/>
      <c r="E145" s="168"/>
      <c r="F145" s="166"/>
      <c r="G145" s="147">
        <f t="shared" si="5"/>
        <v>0</v>
      </c>
      <c r="H145" s="148"/>
    </row>
    <row r="146" spans="1:8" s="149" customFormat="1" ht="15.75" x14ac:dyDescent="0.25">
      <c r="A146" s="163"/>
      <c r="B146" s="144"/>
      <c r="D146" s="168"/>
      <c r="E146" s="168"/>
      <c r="F146" s="166"/>
      <c r="G146" s="147">
        <f t="shared" si="5"/>
        <v>0</v>
      </c>
      <c r="H146" s="148"/>
    </row>
    <row r="147" spans="1:8" s="149" customFormat="1" ht="15.75" x14ac:dyDescent="0.25">
      <c r="A147" s="163"/>
      <c r="B147" s="144"/>
      <c r="D147" s="168"/>
      <c r="E147" s="168"/>
      <c r="F147" s="166"/>
      <c r="G147" s="147">
        <f t="shared" si="5"/>
        <v>0</v>
      </c>
      <c r="H147" s="148"/>
    </row>
    <row r="148" spans="1:8" s="149" customFormat="1" ht="15.75" x14ac:dyDescent="0.25">
      <c r="A148" s="163"/>
      <c r="B148" s="144"/>
      <c r="D148" s="168"/>
      <c r="E148" s="168"/>
      <c r="F148" s="166"/>
      <c r="G148" s="147">
        <f t="shared" si="5"/>
        <v>0</v>
      </c>
      <c r="H148" s="148"/>
    </row>
    <row r="149" spans="1:8" s="149" customFormat="1" ht="15.75" x14ac:dyDescent="0.25">
      <c r="A149" s="163"/>
      <c r="B149" s="144"/>
      <c r="D149" s="168"/>
      <c r="E149" s="168"/>
      <c r="F149" s="166"/>
      <c r="G149" s="147">
        <f t="shared" si="5"/>
        <v>0</v>
      </c>
      <c r="H149" s="148"/>
    </row>
    <row r="150" spans="1:8" s="149" customFormat="1" ht="15.75" x14ac:dyDescent="0.25">
      <c r="A150" s="163"/>
      <c r="B150" s="144"/>
      <c r="D150" s="168"/>
      <c r="E150" s="168"/>
      <c r="F150" s="166"/>
      <c r="G150" s="147">
        <f t="shared" si="5"/>
        <v>0</v>
      </c>
      <c r="H150" s="148"/>
    </row>
    <row r="151" spans="1:8" s="149" customFormat="1" ht="15.75" x14ac:dyDescent="0.25">
      <c r="A151" s="163"/>
      <c r="B151" s="144"/>
      <c r="D151" s="168"/>
      <c r="E151" s="168"/>
      <c r="F151" s="166"/>
      <c r="G151" s="147">
        <f t="shared" si="5"/>
        <v>0</v>
      </c>
      <c r="H151" s="148"/>
    </row>
    <row r="152" spans="1:8" s="149" customFormat="1" ht="15.75" x14ac:dyDescent="0.25">
      <c r="A152" s="163"/>
      <c r="B152" s="144"/>
      <c r="D152" s="168"/>
      <c r="E152" s="168"/>
      <c r="F152" s="166"/>
      <c r="G152" s="147">
        <f t="shared" si="5"/>
        <v>0</v>
      </c>
      <c r="H152" s="148"/>
    </row>
    <row r="153" spans="1:8" s="149" customFormat="1" ht="15.75" x14ac:dyDescent="0.25">
      <c r="A153" s="163"/>
      <c r="B153" s="144"/>
      <c r="D153" s="168"/>
      <c r="E153" s="168"/>
      <c r="F153" s="166"/>
      <c r="G153" s="147">
        <f t="shared" si="5"/>
        <v>0</v>
      </c>
      <c r="H153" s="148"/>
    </row>
    <row r="154" spans="1:8" s="149" customFormat="1" ht="15.75" x14ac:dyDescent="0.25">
      <c r="A154" s="163"/>
      <c r="B154" s="144"/>
      <c r="D154" s="168"/>
      <c r="E154" s="168"/>
      <c r="F154" s="166"/>
      <c r="G154" s="147">
        <f t="shared" si="5"/>
        <v>0</v>
      </c>
      <c r="H154" s="148"/>
    </row>
    <row r="155" spans="1:8" s="149" customFormat="1" ht="15.75" x14ac:dyDescent="0.25">
      <c r="A155" s="163"/>
      <c r="B155" s="144"/>
      <c r="D155" s="168"/>
      <c r="E155" s="168"/>
      <c r="F155" s="166"/>
      <c r="G155" s="147">
        <f t="shared" si="5"/>
        <v>0</v>
      </c>
      <c r="H155" s="148"/>
    </row>
    <row r="156" spans="1:8" s="149" customFormat="1" ht="15.75" x14ac:dyDescent="0.25">
      <c r="A156" s="163"/>
      <c r="B156" s="144"/>
      <c r="D156" s="168"/>
      <c r="E156" s="168"/>
      <c r="F156" s="166"/>
      <c r="G156" s="147">
        <f t="shared" si="5"/>
        <v>0</v>
      </c>
      <c r="H156" s="148"/>
    </row>
    <row r="157" spans="1:8" s="149" customFormat="1" ht="15.75" x14ac:dyDescent="0.25">
      <c r="A157" s="163"/>
      <c r="B157" s="144"/>
      <c r="C157" s="176"/>
      <c r="D157" s="168"/>
      <c r="E157" s="168"/>
      <c r="F157" s="166"/>
      <c r="G157" s="147">
        <f t="shared" si="5"/>
        <v>0</v>
      </c>
      <c r="H157" s="148"/>
    </row>
    <row r="158" spans="1:8" s="149" customFormat="1" ht="15" customHeight="1" x14ac:dyDescent="0.25">
      <c r="A158" s="163"/>
      <c r="B158" s="144"/>
      <c r="C158" s="176"/>
      <c r="D158" s="168"/>
      <c r="E158" s="168"/>
      <c r="F158" s="177"/>
      <c r="G158" s="147">
        <f t="shared" si="5"/>
        <v>0</v>
      </c>
      <c r="H158" s="148"/>
    </row>
    <row r="159" spans="1:8" s="149" customFormat="1" ht="15.75" x14ac:dyDescent="0.25">
      <c r="A159" s="163"/>
      <c r="B159" s="144"/>
      <c r="C159" s="176"/>
      <c r="D159" s="168"/>
      <c r="E159" s="168"/>
      <c r="F159" s="177"/>
      <c r="G159" s="147">
        <f t="shared" si="5"/>
        <v>0</v>
      </c>
      <c r="H159" s="148"/>
    </row>
    <row r="160" spans="1:8" s="149" customFormat="1" ht="15.75" x14ac:dyDescent="0.25">
      <c r="A160" s="163"/>
      <c r="B160" s="144"/>
      <c r="C160" s="176"/>
      <c r="D160" s="168"/>
      <c r="E160" s="168"/>
      <c r="F160" s="177"/>
      <c r="G160" s="147">
        <f t="shared" si="5"/>
        <v>0</v>
      </c>
      <c r="H160" s="148"/>
    </row>
    <row r="161" spans="1:8" s="149" customFormat="1" ht="15.75" x14ac:dyDescent="0.25">
      <c r="A161" s="163"/>
      <c r="B161" s="144"/>
      <c r="C161" s="176"/>
      <c r="D161" s="168"/>
      <c r="E161" s="168"/>
      <c r="F161" s="177"/>
      <c r="G161" s="147">
        <f t="shared" si="5"/>
        <v>0</v>
      </c>
      <c r="H161" s="148"/>
    </row>
    <row r="162" spans="1:8" s="149" customFormat="1" ht="15.75" x14ac:dyDescent="0.25">
      <c r="A162" s="163"/>
      <c r="B162" s="144"/>
      <c r="D162" s="168"/>
      <c r="E162" s="168"/>
      <c r="F162" s="177"/>
      <c r="G162" s="147">
        <f t="shared" si="5"/>
        <v>0</v>
      </c>
      <c r="H162" s="148"/>
    </row>
    <row r="163" spans="1:8" s="149" customFormat="1" ht="15.75" x14ac:dyDescent="0.25">
      <c r="A163" s="163"/>
      <c r="B163" s="144"/>
      <c r="D163" s="168"/>
      <c r="E163" s="168"/>
      <c r="F163" s="177"/>
      <c r="G163" s="147">
        <f t="shared" si="5"/>
        <v>0</v>
      </c>
      <c r="H163" s="148"/>
    </row>
    <row r="164" spans="1:8" s="149" customFormat="1" ht="15.75" x14ac:dyDescent="0.25">
      <c r="A164" s="163"/>
      <c r="B164" s="144"/>
      <c r="D164" s="168"/>
      <c r="E164" s="168"/>
      <c r="F164" s="177"/>
      <c r="G164" s="147">
        <f t="shared" si="5"/>
        <v>0</v>
      </c>
      <c r="H164" s="148"/>
    </row>
    <row r="165" spans="1:8" s="149" customFormat="1" ht="15.75" x14ac:dyDescent="0.25">
      <c r="A165" s="163"/>
      <c r="B165" s="144"/>
      <c r="D165" s="168"/>
      <c r="E165" s="168"/>
      <c r="F165" s="177"/>
      <c r="G165" s="147">
        <f t="shared" si="5"/>
        <v>0</v>
      </c>
      <c r="H165" s="148"/>
    </row>
    <row r="166" spans="1:8" s="149" customFormat="1" ht="15.75" x14ac:dyDescent="0.25">
      <c r="A166" s="163"/>
      <c r="B166" s="144"/>
      <c r="D166" s="168"/>
      <c r="E166" s="168"/>
      <c r="F166" s="177"/>
      <c r="G166" s="147">
        <f t="shared" si="5"/>
        <v>0</v>
      </c>
      <c r="H166" s="148"/>
    </row>
    <row r="167" spans="1:8" s="149" customFormat="1" ht="15.75" x14ac:dyDescent="0.25">
      <c r="A167" s="163"/>
      <c r="B167" s="144"/>
      <c r="D167" s="168"/>
      <c r="E167" s="168"/>
      <c r="F167" s="177"/>
      <c r="G167" s="147">
        <f t="shared" si="5"/>
        <v>0</v>
      </c>
      <c r="H167" s="148"/>
    </row>
    <row r="168" spans="1:8" s="149" customFormat="1" ht="15.75" x14ac:dyDescent="0.25">
      <c r="A168" s="163"/>
      <c r="B168" s="144"/>
      <c r="D168" s="168"/>
      <c r="E168" s="168"/>
      <c r="F168" s="177"/>
      <c r="G168" s="147">
        <f t="shared" si="5"/>
        <v>0</v>
      </c>
      <c r="H168" s="148"/>
    </row>
    <row r="169" spans="1:8" s="149" customFormat="1" ht="15.75" x14ac:dyDescent="0.25">
      <c r="A169" s="163"/>
      <c r="B169" s="144"/>
      <c r="D169" s="168"/>
      <c r="E169" s="168"/>
      <c r="F169" s="177"/>
      <c r="G169" s="147">
        <f t="shared" si="5"/>
        <v>0</v>
      </c>
      <c r="H169" s="148"/>
    </row>
    <row r="170" spans="1:8" s="149" customFormat="1" ht="15.75" x14ac:dyDescent="0.25">
      <c r="A170" s="163"/>
      <c r="B170" s="144"/>
      <c r="D170" s="168"/>
      <c r="E170" s="168"/>
      <c r="F170" s="177"/>
      <c r="G170" s="147">
        <f t="shared" si="5"/>
        <v>0</v>
      </c>
      <c r="H170" s="148"/>
    </row>
    <row r="171" spans="1:8" s="149" customFormat="1" ht="15.75" x14ac:dyDescent="0.25">
      <c r="A171" s="163"/>
      <c r="B171" s="144"/>
      <c r="D171" s="168"/>
      <c r="E171" s="168"/>
      <c r="F171" s="177"/>
      <c r="G171" s="147">
        <f t="shared" si="5"/>
        <v>0</v>
      </c>
      <c r="H171" s="148"/>
    </row>
    <row r="172" spans="1:8" s="149" customFormat="1" ht="15.75" x14ac:dyDescent="0.25">
      <c r="A172" s="163"/>
      <c r="B172" s="144"/>
      <c r="D172" s="168"/>
      <c r="E172" s="168"/>
      <c r="F172" s="177"/>
      <c r="G172" s="147">
        <f t="shared" si="5"/>
        <v>0</v>
      </c>
      <c r="H172" s="148"/>
    </row>
    <row r="173" spans="1:8" s="149" customFormat="1" ht="15.75" x14ac:dyDescent="0.25">
      <c r="A173" s="163"/>
      <c r="B173" s="144"/>
      <c r="D173" s="168"/>
      <c r="E173" s="168"/>
      <c r="F173" s="177"/>
      <c r="G173" s="147">
        <f t="shared" si="5"/>
        <v>0</v>
      </c>
      <c r="H173" s="148"/>
    </row>
    <row r="174" spans="1:8" s="149" customFormat="1" ht="15.75" x14ac:dyDescent="0.25">
      <c r="A174" s="163"/>
      <c r="B174" s="144"/>
      <c r="D174" s="168"/>
      <c r="E174" s="168"/>
      <c r="F174" s="177"/>
      <c r="G174" s="147">
        <f t="shared" ref="G174:G205" si="6">F174+(F174*0.05)</f>
        <v>0</v>
      </c>
      <c r="H174" s="148"/>
    </row>
    <row r="175" spans="1:8" s="149" customFormat="1" ht="15.75" x14ac:dyDescent="0.25">
      <c r="A175" s="163"/>
      <c r="B175" s="144"/>
      <c r="C175" s="176"/>
      <c r="D175" s="168"/>
      <c r="E175" s="168"/>
      <c r="F175" s="166"/>
      <c r="G175" s="147">
        <f t="shared" si="6"/>
        <v>0</v>
      </c>
      <c r="H175" s="148"/>
    </row>
    <row r="176" spans="1:8" s="149" customFormat="1" ht="15" customHeight="1" x14ac:dyDescent="0.25">
      <c r="A176" s="163"/>
      <c r="B176" s="144"/>
      <c r="C176" s="176"/>
      <c r="D176" s="168"/>
      <c r="E176" s="168"/>
      <c r="F176" s="177"/>
      <c r="G176" s="147">
        <f t="shared" si="6"/>
        <v>0</v>
      </c>
      <c r="H176" s="148"/>
    </row>
    <row r="177" spans="1:8" s="149" customFormat="1" ht="15.75" x14ac:dyDescent="0.25">
      <c r="A177" s="163"/>
      <c r="B177" s="144"/>
      <c r="C177" s="176"/>
      <c r="D177" s="168"/>
      <c r="E177" s="168"/>
      <c r="F177" s="177"/>
      <c r="G177" s="147">
        <f t="shared" si="6"/>
        <v>0</v>
      </c>
      <c r="H177" s="148"/>
    </row>
    <row r="178" spans="1:8" s="149" customFormat="1" ht="15.75" x14ac:dyDescent="0.25">
      <c r="A178" s="163"/>
      <c r="B178" s="144"/>
      <c r="C178" s="176"/>
      <c r="D178" s="168"/>
      <c r="E178" s="168"/>
      <c r="F178" s="177"/>
      <c r="G178" s="147">
        <f t="shared" si="6"/>
        <v>0</v>
      </c>
      <c r="H178" s="148"/>
    </row>
    <row r="179" spans="1:8" s="149" customFormat="1" ht="15.75" x14ac:dyDescent="0.25">
      <c r="A179" s="163"/>
      <c r="B179" s="144"/>
      <c r="C179" s="176"/>
      <c r="D179" s="168"/>
      <c r="E179" s="168"/>
      <c r="F179" s="177"/>
      <c r="G179" s="147">
        <f t="shared" si="6"/>
        <v>0</v>
      </c>
      <c r="H179" s="148"/>
    </row>
    <row r="180" spans="1:8" s="149" customFormat="1" ht="15.75" x14ac:dyDescent="0.25">
      <c r="A180" s="178"/>
      <c r="B180" s="144"/>
      <c r="D180" s="168"/>
      <c r="E180" s="168"/>
      <c r="F180" s="177"/>
      <c r="G180" s="147">
        <f t="shared" si="6"/>
        <v>0</v>
      </c>
      <c r="H180" s="148"/>
    </row>
    <row r="181" spans="1:8" s="149" customFormat="1" ht="15.75" x14ac:dyDescent="0.25">
      <c r="A181" s="178"/>
      <c r="B181" s="144"/>
      <c r="D181" s="168"/>
      <c r="E181" s="168"/>
      <c r="F181" s="177"/>
      <c r="G181" s="147">
        <f t="shared" si="6"/>
        <v>0</v>
      </c>
      <c r="H181" s="148"/>
    </row>
    <row r="182" spans="1:8" s="149" customFormat="1" ht="15.75" x14ac:dyDescent="0.25">
      <c r="A182" s="178"/>
      <c r="B182" s="144"/>
      <c r="D182" s="168"/>
      <c r="E182" s="168"/>
      <c r="F182" s="177"/>
      <c r="G182" s="147">
        <f t="shared" si="6"/>
        <v>0</v>
      </c>
      <c r="H182" s="148"/>
    </row>
    <row r="183" spans="1:8" s="149" customFormat="1" ht="15.75" x14ac:dyDescent="0.25">
      <c r="A183" s="178"/>
      <c r="B183" s="144"/>
      <c r="D183" s="168"/>
      <c r="E183" s="168"/>
      <c r="F183" s="177"/>
      <c r="G183" s="147">
        <f t="shared" si="6"/>
        <v>0</v>
      </c>
      <c r="H183" s="148"/>
    </row>
    <row r="184" spans="1:8" s="149" customFormat="1" ht="15.75" x14ac:dyDescent="0.25">
      <c r="A184" s="178"/>
      <c r="B184" s="144"/>
      <c r="D184" s="168"/>
      <c r="E184" s="168"/>
      <c r="F184" s="177"/>
      <c r="G184" s="147">
        <f t="shared" si="6"/>
        <v>0</v>
      </c>
      <c r="H184" s="148"/>
    </row>
    <row r="185" spans="1:8" s="149" customFormat="1" ht="15.75" x14ac:dyDescent="0.25">
      <c r="A185" s="178"/>
      <c r="B185" s="144"/>
      <c r="D185" s="168"/>
      <c r="E185" s="168"/>
      <c r="F185" s="177"/>
      <c r="G185" s="147">
        <f t="shared" si="6"/>
        <v>0</v>
      </c>
      <c r="H185" s="148"/>
    </row>
    <row r="186" spans="1:8" s="149" customFormat="1" ht="15.75" x14ac:dyDescent="0.25">
      <c r="A186" s="178"/>
      <c r="B186" s="144"/>
      <c r="D186" s="168"/>
      <c r="E186" s="168"/>
      <c r="F186" s="177"/>
      <c r="G186" s="147">
        <f t="shared" si="6"/>
        <v>0</v>
      </c>
      <c r="H186" s="148"/>
    </row>
    <row r="187" spans="1:8" s="149" customFormat="1" x14ac:dyDescent="0.25">
      <c r="A187" s="178"/>
      <c r="B187" s="179"/>
      <c r="D187" s="168"/>
      <c r="E187" s="168"/>
      <c r="F187" s="177"/>
      <c r="G187" s="147">
        <f t="shared" si="6"/>
        <v>0</v>
      </c>
      <c r="H187" s="148"/>
    </row>
    <row r="188" spans="1:8" s="149" customFormat="1" x14ac:dyDescent="0.25">
      <c r="A188" s="178"/>
      <c r="B188" s="179"/>
      <c r="D188" s="168"/>
      <c r="E188" s="168"/>
      <c r="F188" s="177"/>
      <c r="G188" s="147">
        <f t="shared" si="6"/>
        <v>0</v>
      </c>
      <c r="H188" s="148"/>
    </row>
    <row r="189" spans="1:8" s="149" customFormat="1" x14ac:dyDescent="0.25">
      <c r="A189" s="178"/>
      <c r="B189" s="179"/>
      <c r="D189" s="168"/>
      <c r="E189" s="168"/>
      <c r="F189" s="177"/>
      <c r="G189" s="147">
        <f t="shared" si="6"/>
        <v>0</v>
      </c>
      <c r="H189" s="148"/>
    </row>
    <row r="190" spans="1:8" s="149" customFormat="1" x14ac:dyDescent="0.25">
      <c r="A190" s="178"/>
      <c r="B190" s="179"/>
      <c r="D190" s="168"/>
      <c r="E190" s="168"/>
      <c r="F190" s="177"/>
      <c r="G190" s="147">
        <f t="shared" si="6"/>
        <v>0</v>
      </c>
      <c r="H190" s="148"/>
    </row>
    <row r="191" spans="1:8" s="149" customFormat="1" x14ac:dyDescent="0.25">
      <c r="A191" s="178"/>
      <c r="B191" s="179"/>
      <c r="D191" s="168"/>
      <c r="E191" s="168"/>
      <c r="F191" s="177"/>
      <c r="G191" s="147">
        <f t="shared" si="6"/>
        <v>0</v>
      </c>
      <c r="H191" s="148"/>
    </row>
    <row r="192" spans="1:8" s="149" customFormat="1" x14ac:dyDescent="0.25">
      <c r="A192" s="178"/>
      <c r="B192" s="179"/>
      <c r="D192" s="168"/>
      <c r="E192" s="168"/>
      <c r="F192" s="177"/>
      <c r="G192" s="147">
        <f t="shared" si="6"/>
        <v>0</v>
      </c>
      <c r="H192" s="148"/>
    </row>
    <row r="193" spans="1:8" s="149" customFormat="1" x14ac:dyDescent="0.25">
      <c r="A193" s="178"/>
      <c r="B193" s="179"/>
      <c r="D193" s="168"/>
      <c r="E193" s="168"/>
      <c r="F193" s="177"/>
      <c r="G193" s="147">
        <f t="shared" si="6"/>
        <v>0</v>
      </c>
      <c r="H193" s="148"/>
    </row>
    <row r="194" spans="1:8" s="149" customFormat="1" x14ac:dyDescent="0.25">
      <c r="A194" s="178"/>
      <c r="B194" s="179"/>
      <c r="D194" s="168"/>
      <c r="E194" s="168"/>
      <c r="F194" s="177"/>
      <c r="G194" s="147">
        <f t="shared" si="6"/>
        <v>0</v>
      </c>
      <c r="H194" s="148"/>
    </row>
    <row r="195" spans="1:8" s="149" customFormat="1" x14ac:dyDescent="0.25">
      <c r="A195" s="178"/>
      <c r="B195" s="179"/>
      <c r="D195" s="168"/>
      <c r="E195" s="168"/>
      <c r="F195" s="177"/>
      <c r="G195" s="147">
        <f t="shared" si="6"/>
        <v>0</v>
      </c>
      <c r="H195" s="148"/>
    </row>
    <row r="196" spans="1:8" s="149" customFormat="1" x14ac:dyDescent="0.25">
      <c r="A196" s="178"/>
      <c r="B196" s="179"/>
      <c r="D196" s="168"/>
      <c r="E196" s="168"/>
      <c r="F196" s="177"/>
      <c r="G196" s="147">
        <f t="shared" si="6"/>
        <v>0</v>
      </c>
      <c r="H196" s="148"/>
    </row>
    <row r="197" spans="1:8" s="149" customFormat="1" x14ac:dyDescent="0.25">
      <c r="A197" s="180"/>
      <c r="B197" s="179"/>
      <c r="C197" s="181"/>
      <c r="D197" s="145"/>
      <c r="E197" s="145"/>
      <c r="F197" s="146"/>
      <c r="G197" s="147">
        <f t="shared" si="6"/>
        <v>0</v>
      </c>
    </row>
    <row r="198" spans="1:8" s="149" customFormat="1" x14ac:dyDescent="0.25">
      <c r="A198" s="182"/>
      <c r="B198" s="179"/>
      <c r="D198" s="168"/>
      <c r="E198" s="168"/>
      <c r="F198" s="183"/>
      <c r="G198" s="147">
        <f t="shared" si="6"/>
        <v>0</v>
      </c>
    </row>
    <row r="199" spans="1:8" s="149" customFormat="1" x14ac:dyDescent="0.25">
      <c r="A199" s="182"/>
      <c r="B199" s="179"/>
      <c r="D199" s="168"/>
      <c r="E199" s="168"/>
      <c r="F199" s="183"/>
      <c r="G199" s="147">
        <f t="shared" si="6"/>
        <v>0</v>
      </c>
    </row>
    <row r="200" spans="1:8" s="149" customFormat="1" x14ac:dyDescent="0.25">
      <c r="A200" s="182"/>
      <c r="B200" s="179"/>
      <c r="D200" s="168"/>
      <c r="E200" s="168"/>
      <c r="F200" s="183"/>
      <c r="G200" s="147">
        <f t="shared" si="6"/>
        <v>0</v>
      </c>
    </row>
    <row r="201" spans="1:8" s="149" customFormat="1" x14ac:dyDescent="0.25">
      <c r="A201" s="182"/>
      <c r="B201" s="179"/>
      <c r="D201" s="168"/>
      <c r="E201" s="168"/>
      <c r="F201" s="183"/>
      <c r="G201" s="147">
        <f t="shared" si="6"/>
        <v>0</v>
      </c>
    </row>
    <row r="202" spans="1:8" s="149" customFormat="1" x14ac:dyDescent="0.25">
      <c r="A202" s="182"/>
      <c r="B202" s="179"/>
      <c r="D202" s="168"/>
      <c r="E202" s="168"/>
      <c r="F202" s="183"/>
      <c r="G202" s="147">
        <f t="shared" si="6"/>
        <v>0</v>
      </c>
    </row>
    <row r="203" spans="1:8" s="149" customFormat="1" x14ac:dyDescent="0.25">
      <c r="A203" s="182"/>
      <c r="B203" s="179"/>
      <c r="D203" s="168"/>
      <c r="E203" s="168"/>
      <c r="F203" s="183"/>
      <c r="G203" s="147">
        <f t="shared" si="6"/>
        <v>0</v>
      </c>
    </row>
    <row r="204" spans="1:8" s="149" customFormat="1" x14ac:dyDescent="0.25">
      <c r="A204" s="182"/>
      <c r="B204" s="179"/>
      <c r="D204" s="168"/>
      <c r="E204" s="168"/>
      <c r="F204" s="183"/>
      <c r="G204" s="147">
        <f t="shared" si="6"/>
        <v>0</v>
      </c>
    </row>
    <row r="205" spans="1:8" s="149" customFormat="1" x14ac:dyDescent="0.25">
      <c r="A205" s="182"/>
      <c r="B205" s="179"/>
      <c r="D205" s="168"/>
      <c r="E205" s="168"/>
      <c r="F205" s="183"/>
      <c r="G205" s="147">
        <f t="shared" si="6"/>
        <v>0</v>
      </c>
    </row>
    <row r="206" spans="1:8" s="149" customFormat="1" x14ac:dyDescent="0.25">
      <c r="A206" s="182"/>
      <c r="B206" s="179"/>
      <c r="D206" s="168"/>
      <c r="E206" s="168"/>
      <c r="F206" s="183"/>
      <c r="G206" s="147">
        <f t="shared" ref="G206:G237" si="7">F206+(F206*0.05)</f>
        <v>0</v>
      </c>
    </row>
    <row r="207" spans="1:8" s="149" customFormat="1" x14ac:dyDescent="0.25">
      <c r="A207" s="182"/>
      <c r="B207" s="179"/>
      <c r="D207" s="168"/>
      <c r="E207" s="168"/>
      <c r="F207" s="183"/>
      <c r="G207" s="147">
        <f t="shared" si="7"/>
        <v>0</v>
      </c>
    </row>
    <row r="208" spans="1:8" s="149" customFormat="1" x14ac:dyDescent="0.25">
      <c r="A208" s="182"/>
      <c r="B208" s="179"/>
      <c r="D208" s="168"/>
      <c r="E208" s="168"/>
      <c r="F208" s="183"/>
      <c r="G208" s="147">
        <f t="shared" si="7"/>
        <v>0</v>
      </c>
    </row>
    <row r="209" spans="1:7" s="149" customFormat="1" x14ac:dyDescent="0.25">
      <c r="A209" s="182"/>
      <c r="B209" s="179"/>
      <c r="D209" s="168"/>
      <c r="E209" s="168"/>
      <c r="F209" s="183"/>
      <c r="G209" s="147">
        <f t="shared" si="7"/>
        <v>0</v>
      </c>
    </row>
    <row r="210" spans="1:7" s="149" customFormat="1" x14ac:dyDescent="0.25">
      <c r="A210" s="182"/>
      <c r="B210" s="179"/>
      <c r="D210" s="168"/>
      <c r="E210" s="168"/>
      <c r="F210" s="183"/>
      <c r="G210" s="147">
        <f t="shared" si="7"/>
        <v>0</v>
      </c>
    </row>
    <row r="211" spans="1:7" s="149" customFormat="1" x14ac:dyDescent="0.25">
      <c r="A211" s="182"/>
      <c r="B211" s="179"/>
      <c r="D211" s="168"/>
      <c r="E211" s="168"/>
      <c r="F211" s="183"/>
      <c r="G211" s="147">
        <f t="shared" si="7"/>
        <v>0</v>
      </c>
    </row>
    <row r="212" spans="1:7" s="149" customFormat="1" x14ac:dyDescent="0.25">
      <c r="A212" s="182"/>
      <c r="B212" s="179"/>
      <c r="D212" s="168"/>
      <c r="E212" s="168"/>
      <c r="F212" s="183"/>
      <c r="G212" s="147">
        <f t="shared" si="7"/>
        <v>0</v>
      </c>
    </row>
    <row r="213" spans="1:7" s="149" customFormat="1" x14ac:dyDescent="0.25">
      <c r="A213" s="182"/>
      <c r="B213" s="179"/>
      <c r="D213" s="168"/>
      <c r="E213" s="168"/>
      <c r="F213" s="183"/>
      <c r="G213" s="147">
        <f t="shared" si="7"/>
        <v>0</v>
      </c>
    </row>
    <row r="214" spans="1:7" s="149" customFormat="1" x14ac:dyDescent="0.25">
      <c r="A214" s="182"/>
      <c r="B214" s="179"/>
      <c r="D214" s="168"/>
      <c r="E214" s="168"/>
      <c r="F214" s="183"/>
      <c r="G214" s="147">
        <f t="shared" si="7"/>
        <v>0</v>
      </c>
    </row>
    <row r="215" spans="1:7" s="149" customFormat="1" x14ac:dyDescent="0.25">
      <c r="A215" s="182"/>
      <c r="B215" s="179"/>
      <c r="D215" s="168"/>
      <c r="E215" s="168"/>
      <c r="F215" s="183"/>
      <c r="G215" s="147">
        <f t="shared" si="7"/>
        <v>0</v>
      </c>
    </row>
    <row r="216" spans="1:7" s="149" customFormat="1" x14ac:dyDescent="0.25">
      <c r="A216" s="182"/>
      <c r="B216" s="179"/>
      <c r="D216" s="168"/>
      <c r="E216" s="168"/>
      <c r="F216" s="183"/>
      <c r="G216" s="147">
        <f t="shared" si="7"/>
        <v>0</v>
      </c>
    </row>
    <row r="217" spans="1:7" s="149" customFormat="1" x14ac:dyDescent="0.25">
      <c r="A217" s="182"/>
      <c r="B217" s="179"/>
      <c r="D217" s="168"/>
      <c r="E217" s="168"/>
      <c r="F217" s="183"/>
      <c r="G217" s="147">
        <f t="shared" si="7"/>
        <v>0</v>
      </c>
    </row>
    <row r="218" spans="1:7" s="149" customFormat="1" x14ac:dyDescent="0.25">
      <c r="A218" s="182"/>
      <c r="B218" s="179"/>
      <c r="D218" s="168"/>
      <c r="E218" s="168"/>
      <c r="F218" s="183"/>
      <c r="G218" s="147">
        <f t="shared" si="7"/>
        <v>0</v>
      </c>
    </row>
    <row r="219" spans="1:7" s="149" customFormat="1" x14ac:dyDescent="0.25">
      <c r="A219" s="182"/>
      <c r="B219" s="179"/>
      <c r="D219" s="168"/>
      <c r="E219" s="168"/>
      <c r="F219" s="183"/>
      <c r="G219" s="147">
        <f t="shared" si="7"/>
        <v>0</v>
      </c>
    </row>
    <row r="220" spans="1:7" s="149" customFormat="1" x14ac:dyDescent="0.25">
      <c r="A220" s="182"/>
      <c r="B220" s="179"/>
      <c r="D220" s="168"/>
      <c r="E220" s="168"/>
      <c r="F220" s="183"/>
      <c r="G220" s="147">
        <f t="shared" si="7"/>
        <v>0</v>
      </c>
    </row>
    <row r="221" spans="1:7" s="149" customFormat="1" x14ac:dyDescent="0.25">
      <c r="A221" s="182"/>
      <c r="B221" s="179"/>
      <c r="D221" s="168"/>
      <c r="E221" s="168"/>
      <c r="F221" s="183"/>
      <c r="G221" s="147">
        <f t="shared" si="7"/>
        <v>0</v>
      </c>
    </row>
    <row r="222" spans="1:7" s="149" customFormat="1" x14ac:dyDescent="0.25">
      <c r="A222" s="182"/>
      <c r="B222" s="179"/>
      <c r="D222" s="168"/>
      <c r="E222" s="168"/>
      <c r="F222" s="183"/>
      <c r="G222" s="147">
        <f t="shared" si="7"/>
        <v>0</v>
      </c>
    </row>
    <row r="223" spans="1:7" s="149" customFormat="1" x14ac:dyDescent="0.25">
      <c r="A223" s="182"/>
      <c r="B223" s="179"/>
      <c r="D223" s="168"/>
      <c r="E223" s="168"/>
      <c r="F223" s="183"/>
      <c r="G223" s="147">
        <f t="shared" si="7"/>
        <v>0</v>
      </c>
    </row>
    <row r="224" spans="1:7" s="149" customFormat="1" x14ac:dyDescent="0.25">
      <c r="A224" s="182"/>
      <c r="B224" s="179"/>
      <c r="D224" s="168"/>
      <c r="E224" s="168"/>
      <c r="F224" s="183"/>
      <c r="G224" s="147">
        <f t="shared" si="7"/>
        <v>0</v>
      </c>
    </row>
    <row r="225" spans="1:7" s="149" customFormat="1" x14ac:dyDescent="0.25">
      <c r="A225" s="182"/>
      <c r="B225" s="179"/>
      <c r="D225" s="168"/>
      <c r="E225" s="168"/>
      <c r="F225" s="183"/>
      <c r="G225" s="147">
        <f t="shared" si="7"/>
        <v>0</v>
      </c>
    </row>
    <row r="226" spans="1:7" s="149" customFormat="1" x14ac:dyDescent="0.25">
      <c r="A226" s="182"/>
      <c r="B226" s="179"/>
      <c r="D226" s="168"/>
      <c r="E226" s="168"/>
      <c r="F226" s="183"/>
      <c r="G226" s="147">
        <f t="shared" si="7"/>
        <v>0</v>
      </c>
    </row>
    <row r="227" spans="1:7" s="149" customFormat="1" x14ac:dyDescent="0.25">
      <c r="A227" s="182"/>
      <c r="B227" s="179"/>
      <c r="D227" s="168"/>
      <c r="E227" s="168"/>
      <c r="F227" s="183"/>
      <c r="G227" s="147">
        <f t="shared" si="7"/>
        <v>0</v>
      </c>
    </row>
    <row r="228" spans="1:7" s="149" customFormat="1" x14ac:dyDescent="0.25">
      <c r="A228" s="182"/>
      <c r="B228" s="179"/>
      <c r="D228" s="168"/>
      <c r="E228" s="168"/>
      <c r="F228" s="183"/>
      <c r="G228" s="147">
        <f t="shared" si="7"/>
        <v>0</v>
      </c>
    </row>
    <row r="229" spans="1:7" s="149" customFormat="1" x14ac:dyDescent="0.25">
      <c r="A229" s="182"/>
      <c r="B229" s="179"/>
      <c r="D229" s="168"/>
      <c r="E229" s="168"/>
      <c r="F229" s="183"/>
      <c r="G229" s="147">
        <f t="shared" si="7"/>
        <v>0</v>
      </c>
    </row>
    <row r="230" spans="1:7" s="149" customFormat="1" x14ac:dyDescent="0.25">
      <c r="A230" s="182"/>
      <c r="B230" s="179"/>
      <c r="D230" s="168"/>
      <c r="E230" s="168"/>
      <c r="F230" s="183"/>
      <c r="G230" s="147">
        <f t="shared" si="7"/>
        <v>0</v>
      </c>
    </row>
    <row r="231" spans="1:7" s="149" customFormat="1" x14ac:dyDescent="0.25">
      <c r="A231" s="182"/>
      <c r="B231" s="179"/>
      <c r="D231" s="168"/>
      <c r="E231" s="168"/>
      <c r="F231" s="183"/>
      <c r="G231" s="147">
        <f t="shared" si="7"/>
        <v>0</v>
      </c>
    </row>
    <row r="232" spans="1:7" s="149" customFormat="1" x14ac:dyDescent="0.25">
      <c r="A232" s="182"/>
      <c r="B232" s="179"/>
      <c r="D232" s="168"/>
      <c r="E232" s="168"/>
      <c r="F232" s="183"/>
      <c r="G232" s="147">
        <f t="shared" si="7"/>
        <v>0</v>
      </c>
    </row>
    <row r="233" spans="1:7" s="149" customFormat="1" x14ac:dyDescent="0.25">
      <c r="A233" s="182"/>
      <c r="B233" s="179"/>
      <c r="D233" s="168"/>
      <c r="E233" s="168"/>
      <c r="F233" s="183"/>
      <c r="G233" s="147">
        <f t="shared" si="7"/>
        <v>0</v>
      </c>
    </row>
    <row r="234" spans="1:7" s="149" customFormat="1" x14ac:dyDescent="0.25">
      <c r="A234" s="182"/>
      <c r="B234" s="179"/>
      <c r="D234" s="168"/>
      <c r="E234" s="168"/>
      <c r="F234" s="183"/>
      <c r="G234" s="147">
        <f t="shared" si="7"/>
        <v>0</v>
      </c>
    </row>
    <row r="235" spans="1:7" s="149" customFormat="1" x14ac:dyDescent="0.25">
      <c r="A235" s="182"/>
      <c r="B235" s="179"/>
      <c r="D235" s="168"/>
      <c r="E235" s="168"/>
      <c r="F235" s="183"/>
      <c r="G235" s="147">
        <f t="shared" si="7"/>
        <v>0</v>
      </c>
    </row>
    <row r="236" spans="1:7" s="149" customFormat="1" x14ac:dyDescent="0.25">
      <c r="A236" s="182"/>
      <c r="B236" s="179"/>
      <c r="D236" s="168"/>
      <c r="E236" s="168"/>
      <c r="F236" s="183"/>
      <c r="G236" s="147">
        <f t="shared" si="7"/>
        <v>0</v>
      </c>
    </row>
    <row r="237" spans="1:7" s="149" customFormat="1" x14ac:dyDescent="0.25">
      <c r="A237" s="182"/>
      <c r="B237" s="179"/>
      <c r="D237" s="168"/>
      <c r="E237" s="168"/>
      <c r="F237" s="183"/>
      <c r="G237" s="147">
        <f t="shared" si="7"/>
        <v>0</v>
      </c>
    </row>
    <row r="238" spans="1:7" s="149" customFormat="1" x14ac:dyDescent="0.25">
      <c r="A238" s="182"/>
      <c r="B238" s="179"/>
      <c r="D238" s="168"/>
      <c r="E238" s="168"/>
      <c r="F238" s="183"/>
      <c r="G238" s="147">
        <f t="shared" ref="G238:G269" si="8">F238+(F238*0.05)</f>
        <v>0</v>
      </c>
    </row>
    <row r="239" spans="1:7" s="149" customFormat="1" x14ac:dyDescent="0.25">
      <c r="A239" s="182"/>
      <c r="B239" s="179"/>
      <c r="D239" s="168"/>
      <c r="E239" s="168"/>
      <c r="F239" s="183"/>
      <c r="G239" s="147">
        <f t="shared" si="8"/>
        <v>0</v>
      </c>
    </row>
    <row r="240" spans="1:7" s="149" customFormat="1" x14ac:dyDescent="0.25">
      <c r="A240" s="182"/>
      <c r="B240" s="179"/>
      <c r="D240" s="168"/>
      <c r="E240" s="168"/>
      <c r="F240" s="183"/>
      <c r="G240" s="147">
        <f t="shared" si="8"/>
        <v>0</v>
      </c>
    </row>
    <row r="241" spans="1:7" s="149" customFormat="1" x14ac:dyDescent="0.25">
      <c r="A241" s="182"/>
      <c r="B241" s="179"/>
      <c r="D241" s="168"/>
      <c r="E241" s="168"/>
      <c r="F241" s="183"/>
      <c r="G241" s="147">
        <f t="shared" si="8"/>
        <v>0</v>
      </c>
    </row>
    <row r="242" spans="1:7" s="149" customFormat="1" x14ac:dyDescent="0.25">
      <c r="A242" s="182"/>
      <c r="B242" s="179"/>
      <c r="D242" s="168"/>
      <c r="E242" s="168"/>
      <c r="F242" s="183"/>
      <c r="G242" s="147">
        <f t="shared" si="8"/>
        <v>0</v>
      </c>
    </row>
    <row r="243" spans="1:7" s="149" customFormat="1" x14ac:dyDescent="0.25">
      <c r="A243" s="182"/>
      <c r="B243" s="179"/>
      <c r="D243" s="168"/>
      <c r="E243" s="168"/>
      <c r="F243" s="183"/>
      <c r="G243" s="147">
        <f t="shared" si="8"/>
        <v>0</v>
      </c>
    </row>
    <row r="244" spans="1:7" s="149" customFormat="1" x14ac:dyDescent="0.25">
      <c r="A244" s="182"/>
      <c r="B244" s="179"/>
      <c r="D244" s="168"/>
      <c r="E244" s="168"/>
      <c r="F244" s="183"/>
      <c r="G244" s="147">
        <f t="shared" si="8"/>
        <v>0</v>
      </c>
    </row>
    <row r="245" spans="1:7" s="149" customFormat="1" x14ac:dyDescent="0.25">
      <c r="A245" s="182"/>
      <c r="B245" s="179"/>
      <c r="D245" s="168"/>
      <c r="E245" s="168"/>
      <c r="F245" s="183"/>
      <c r="G245" s="147">
        <f t="shared" si="8"/>
        <v>0</v>
      </c>
    </row>
    <row r="246" spans="1:7" s="149" customFormat="1" x14ac:dyDescent="0.25">
      <c r="A246" s="182"/>
      <c r="B246" s="179"/>
      <c r="D246" s="168"/>
      <c r="E246" s="168"/>
      <c r="F246" s="183"/>
      <c r="G246" s="147">
        <f t="shared" si="8"/>
        <v>0</v>
      </c>
    </row>
    <row r="247" spans="1:7" s="149" customFormat="1" x14ac:dyDescent="0.25">
      <c r="A247" s="182"/>
      <c r="B247" s="179"/>
      <c r="D247" s="168"/>
      <c r="E247" s="168"/>
      <c r="F247" s="183"/>
      <c r="G247" s="147">
        <f t="shared" si="8"/>
        <v>0</v>
      </c>
    </row>
    <row r="248" spans="1:7" s="149" customFormat="1" x14ac:dyDescent="0.25">
      <c r="A248" s="182"/>
      <c r="B248" s="179"/>
      <c r="D248" s="168"/>
      <c r="E248" s="168"/>
      <c r="F248" s="183"/>
      <c r="G248" s="147">
        <f t="shared" si="8"/>
        <v>0</v>
      </c>
    </row>
    <row r="249" spans="1:7" s="149" customFormat="1" x14ac:dyDescent="0.25">
      <c r="A249" s="182"/>
      <c r="B249" s="179"/>
      <c r="D249" s="168"/>
      <c r="E249" s="168"/>
      <c r="F249" s="183"/>
      <c r="G249" s="147">
        <f t="shared" si="8"/>
        <v>0</v>
      </c>
    </row>
    <row r="250" spans="1:7" s="149" customFormat="1" x14ac:dyDescent="0.25">
      <c r="A250" s="182"/>
      <c r="B250" s="179"/>
      <c r="D250" s="168"/>
      <c r="E250" s="168"/>
      <c r="F250" s="183"/>
      <c r="G250" s="147">
        <f t="shared" si="8"/>
        <v>0</v>
      </c>
    </row>
    <row r="251" spans="1:7" s="149" customFormat="1" x14ac:dyDescent="0.25">
      <c r="A251" s="182"/>
      <c r="B251" s="179"/>
      <c r="D251" s="168"/>
      <c r="E251" s="168"/>
      <c r="F251" s="183"/>
      <c r="G251" s="147">
        <f t="shared" si="8"/>
        <v>0</v>
      </c>
    </row>
    <row r="252" spans="1:7" s="149" customFormat="1" x14ac:dyDescent="0.25">
      <c r="A252" s="182"/>
      <c r="B252" s="179"/>
      <c r="D252" s="168"/>
      <c r="E252" s="168"/>
      <c r="F252" s="183"/>
      <c r="G252" s="147">
        <f t="shared" si="8"/>
        <v>0</v>
      </c>
    </row>
    <row r="253" spans="1:7" s="149" customFormat="1" x14ac:dyDescent="0.25">
      <c r="A253" s="182"/>
      <c r="B253" s="179"/>
      <c r="D253" s="168"/>
      <c r="E253" s="168"/>
      <c r="F253" s="183"/>
      <c r="G253" s="147">
        <f t="shared" si="8"/>
        <v>0</v>
      </c>
    </row>
    <row r="254" spans="1:7" s="149" customFormat="1" x14ac:dyDescent="0.25">
      <c r="A254" s="182"/>
      <c r="B254" s="179"/>
      <c r="D254" s="168"/>
      <c r="E254" s="168"/>
      <c r="F254" s="183"/>
      <c r="G254" s="147">
        <f t="shared" si="8"/>
        <v>0</v>
      </c>
    </row>
    <row r="255" spans="1:7" s="149" customFormat="1" x14ac:dyDescent="0.25">
      <c r="A255" s="182"/>
      <c r="B255" s="179"/>
      <c r="D255" s="168"/>
      <c r="E255" s="168"/>
      <c r="F255" s="183"/>
      <c r="G255" s="147">
        <f t="shared" si="8"/>
        <v>0</v>
      </c>
    </row>
    <row r="256" spans="1:7" s="149" customFormat="1" x14ac:dyDescent="0.25">
      <c r="A256" s="182"/>
      <c r="B256" s="179"/>
      <c r="D256" s="168"/>
      <c r="E256" s="168"/>
      <c r="F256" s="183"/>
      <c r="G256" s="147">
        <f t="shared" si="8"/>
        <v>0</v>
      </c>
    </row>
    <row r="257" spans="1:7" s="149" customFormat="1" x14ac:dyDescent="0.25">
      <c r="A257" s="182"/>
      <c r="B257" s="179"/>
      <c r="D257" s="168"/>
      <c r="E257" s="168"/>
      <c r="F257" s="183"/>
      <c r="G257" s="147">
        <f t="shared" si="8"/>
        <v>0</v>
      </c>
    </row>
    <row r="258" spans="1:7" s="149" customFormat="1" x14ac:dyDescent="0.25">
      <c r="A258" s="182"/>
      <c r="B258" s="179"/>
      <c r="D258" s="168"/>
      <c r="E258" s="168"/>
      <c r="F258" s="183"/>
      <c r="G258" s="147">
        <f t="shared" si="8"/>
        <v>0</v>
      </c>
    </row>
    <row r="259" spans="1:7" s="149" customFormat="1" x14ac:dyDescent="0.25">
      <c r="A259" s="182"/>
      <c r="B259" s="179"/>
      <c r="D259" s="168"/>
      <c r="E259" s="168"/>
      <c r="F259" s="183"/>
      <c r="G259" s="147">
        <f t="shared" si="8"/>
        <v>0</v>
      </c>
    </row>
    <row r="260" spans="1:7" s="149" customFormat="1" x14ac:dyDescent="0.25">
      <c r="A260" s="182"/>
      <c r="B260" s="179"/>
      <c r="D260" s="168"/>
      <c r="E260" s="168"/>
      <c r="F260" s="183"/>
      <c r="G260" s="147">
        <f t="shared" si="8"/>
        <v>0</v>
      </c>
    </row>
    <row r="261" spans="1:7" s="149" customFormat="1" x14ac:dyDescent="0.25">
      <c r="A261" s="182"/>
      <c r="B261" s="179"/>
      <c r="D261" s="168"/>
      <c r="E261" s="168"/>
      <c r="F261" s="183"/>
      <c r="G261" s="147">
        <f t="shared" si="8"/>
        <v>0</v>
      </c>
    </row>
    <row r="262" spans="1:7" s="149" customFormat="1" x14ac:dyDescent="0.25">
      <c r="A262" s="182"/>
      <c r="B262" s="179"/>
      <c r="D262" s="168"/>
      <c r="E262" s="168"/>
      <c r="F262" s="183"/>
      <c r="G262" s="147">
        <f t="shared" si="8"/>
        <v>0</v>
      </c>
    </row>
    <row r="263" spans="1:7" s="149" customFormat="1" x14ac:dyDescent="0.25">
      <c r="A263" s="182"/>
      <c r="B263" s="179"/>
      <c r="D263" s="168"/>
      <c r="E263" s="168"/>
      <c r="F263" s="183"/>
      <c r="G263" s="147">
        <f t="shared" si="8"/>
        <v>0</v>
      </c>
    </row>
    <row r="264" spans="1:7" s="149" customFormat="1" x14ac:dyDescent="0.25">
      <c r="A264" s="182"/>
      <c r="B264" s="179"/>
      <c r="D264" s="168"/>
      <c r="E264" s="168"/>
      <c r="F264" s="183"/>
      <c r="G264" s="147">
        <f t="shared" si="8"/>
        <v>0</v>
      </c>
    </row>
    <row r="265" spans="1:7" s="149" customFormat="1" x14ac:dyDescent="0.25">
      <c r="A265" s="182"/>
      <c r="B265" s="179"/>
      <c r="D265" s="168"/>
      <c r="E265" s="168"/>
      <c r="F265" s="183"/>
      <c r="G265" s="147">
        <f t="shared" si="8"/>
        <v>0</v>
      </c>
    </row>
    <row r="266" spans="1:7" s="149" customFormat="1" x14ac:dyDescent="0.25">
      <c r="A266" s="182"/>
      <c r="B266" s="179"/>
      <c r="D266" s="168"/>
      <c r="E266" s="168"/>
      <c r="F266" s="183"/>
      <c r="G266" s="147">
        <f t="shared" si="8"/>
        <v>0</v>
      </c>
    </row>
    <row r="267" spans="1:7" s="149" customFormat="1" x14ac:dyDescent="0.25">
      <c r="A267" s="182"/>
      <c r="B267" s="179"/>
      <c r="D267" s="168"/>
      <c r="E267" s="168"/>
      <c r="F267" s="183"/>
      <c r="G267" s="147">
        <f t="shared" si="8"/>
        <v>0</v>
      </c>
    </row>
    <row r="268" spans="1:7" s="149" customFormat="1" x14ac:dyDescent="0.25">
      <c r="A268" s="182"/>
      <c r="D268" s="168"/>
      <c r="E268" s="168"/>
      <c r="F268" s="183"/>
      <c r="G268" s="147">
        <f t="shared" si="8"/>
        <v>0</v>
      </c>
    </row>
    <row r="269" spans="1:7" s="149" customFormat="1" x14ac:dyDescent="0.25">
      <c r="A269" s="182"/>
      <c r="D269" s="168"/>
      <c r="E269" s="168"/>
      <c r="F269" s="183"/>
      <c r="G269" s="147">
        <f t="shared" si="8"/>
        <v>0</v>
      </c>
    </row>
    <row r="270" spans="1:7" s="149" customFormat="1" x14ac:dyDescent="0.25">
      <c r="A270" s="182"/>
      <c r="D270" s="168"/>
      <c r="E270" s="168"/>
      <c r="F270" s="183"/>
      <c r="G270" s="147">
        <f t="shared" ref="G270:G285" si="9">F270+(F270*0.05)</f>
        <v>0</v>
      </c>
    </row>
    <row r="271" spans="1:7" s="149" customFormat="1" x14ac:dyDescent="0.25">
      <c r="A271" s="182"/>
      <c r="D271" s="168"/>
      <c r="E271" s="168"/>
      <c r="F271" s="183"/>
      <c r="G271" s="147">
        <f t="shared" si="9"/>
        <v>0</v>
      </c>
    </row>
    <row r="272" spans="1:7" s="149" customFormat="1" x14ac:dyDescent="0.25">
      <c r="A272" s="182"/>
      <c r="D272" s="168"/>
      <c r="E272" s="168"/>
      <c r="F272" s="183"/>
      <c r="G272" s="147">
        <f t="shared" si="9"/>
        <v>0</v>
      </c>
    </row>
    <row r="273" spans="1:7" s="149" customFormat="1" x14ac:dyDescent="0.25">
      <c r="A273" s="182"/>
      <c r="D273" s="168"/>
      <c r="E273" s="168"/>
      <c r="F273" s="183"/>
      <c r="G273" s="147">
        <f t="shared" si="9"/>
        <v>0</v>
      </c>
    </row>
    <row r="274" spans="1:7" s="149" customFormat="1" x14ac:dyDescent="0.25">
      <c r="A274" s="182"/>
      <c r="D274" s="168"/>
      <c r="E274" s="168"/>
      <c r="F274" s="183"/>
      <c r="G274" s="147">
        <f t="shared" si="9"/>
        <v>0</v>
      </c>
    </row>
    <row r="275" spans="1:7" s="149" customFormat="1" x14ac:dyDescent="0.25">
      <c r="A275" s="182"/>
      <c r="D275" s="168"/>
      <c r="E275" s="168"/>
      <c r="F275" s="183"/>
      <c r="G275" s="147">
        <f t="shared" si="9"/>
        <v>0</v>
      </c>
    </row>
    <row r="276" spans="1:7" s="149" customFormat="1" x14ac:dyDescent="0.25">
      <c r="A276" s="182"/>
      <c r="D276" s="168"/>
      <c r="E276" s="168"/>
      <c r="F276" s="183"/>
      <c r="G276" s="147">
        <f t="shared" si="9"/>
        <v>0</v>
      </c>
    </row>
    <row r="277" spans="1:7" s="149" customFormat="1" x14ac:dyDescent="0.25">
      <c r="A277" s="182"/>
      <c r="D277" s="168"/>
      <c r="E277" s="168"/>
      <c r="F277" s="183"/>
      <c r="G277" s="147">
        <f t="shared" si="9"/>
        <v>0</v>
      </c>
    </row>
    <row r="278" spans="1:7" s="149" customFormat="1" x14ac:dyDescent="0.25">
      <c r="A278" s="182"/>
      <c r="D278" s="168"/>
      <c r="E278" s="168"/>
      <c r="F278" s="183"/>
      <c r="G278" s="147">
        <f t="shared" si="9"/>
        <v>0</v>
      </c>
    </row>
    <row r="279" spans="1:7" s="149" customFormat="1" x14ac:dyDescent="0.25">
      <c r="A279" s="182"/>
      <c r="D279" s="168"/>
      <c r="E279" s="168"/>
      <c r="F279" s="183"/>
      <c r="G279" s="147">
        <f t="shared" si="9"/>
        <v>0</v>
      </c>
    </row>
    <row r="280" spans="1:7" s="149" customFormat="1" x14ac:dyDescent="0.25">
      <c r="A280" s="182"/>
      <c r="D280" s="168"/>
      <c r="E280" s="168"/>
      <c r="F280" s="183"/>
      <c r="G280" s="147">
        <f t="shared" si="9"/>
        <v>0</v>
      </c>
    </row>
    <row r="281" spans="1:7" s="149" customFormat="1" x14ac:dyDescent="0.25">
      <c r="A281" s="182"/>
      <c r="D281" s="168"/>
      <c r="E281" s="168"/>
      <c r="F281" s="183"/>
      <c r="G281" s="147">
        <f t="shared" si="9"/>
        <v>0</v>
      </c>
    </row>
    <row r="282" spans="1:7" s="149" customFormat="1" x14ac:dyDescent="0.25">
      <c r="A282" s="182"/>
      <c r="D282" s="168"/>
      <c r="E282" s="168"/>
      <c r="F282" s="183"/>
      <c r="G282" s="147">
        <f t="shared" si="9"/>
        <v>0</v>
      </c>
    </row>
    <row r="283" spans="1:7" s="149" customFormat="1" x14ac:dyDescent="0.25">
      <c r="A283" s="182"/>
      <c r="D283" s="168"/>
      <c r="E283" s="168"/>
      <c r="F283" s="183"/>
      <c r="G283" s="147">
        <f t="shared" si="9"/>
        <v>0</v>
      </c>
    </row>
    <row r="284" spans="1:7" s="149" customFormat="1" x14ac:dyDescent="0.25">
      <c r="A284" s="182"/>
      <c r="D284" s="168"/>
      <c r="E284" s="168"/>
      <c r="F284" s="183"/>
      <c r="G284" s="147">
        <f t="shared" si="9"/>
        <v>0</v>
      </c>
    </row>
    <row r="285" spans="1:7" s="149" customFormat="1" x14ac:dyDescent="0.25">
      <c r="A285" s="182"/>
      <c r="D285" s="168"/>
      <c r="E285" s="168"/>
      <c r="F285" s="183"/>
      <c r="G285" s="147">
        <f t="shared" si="9"/>
        <v>0</v>
      </c>
    </row>
    <row r="286" spans="1:7" s="149" customFormat="1" x14ac:dyDescent="0.25">
      <c r="A286" s="182"/>
      <c r="D286" s="168"/>
      <c r="E286" s="168"/>
      <c r="F286" s="183"/>
      <c r="G286" s="183"/>
    </row>
    <row r="287" spans="1:7" s="149" customFormat="1" x14ac:dyDescent="0.25">
      <c r="A287" s="182"/>
      <c r="D287" s="168"/>
      <c r="E287" s="168"/>
      <c r="F287" s="183"/>
      <c r="G287" s="183"/>
    </row>
    <row r="288" spans="1:7" s="149" customFormat="1" x14ac:dyDescent="0.25">
      <c r="A288" s="182"/>
      <c r="D288" s="168"/>
      <c r="E288" s="168"/>
      <c r="F288" s="183"/>
      <c r="G288" s="183"/>
    </row>
    <row r="289" spans="1:7" s="149" customFormat="1" x14ac:dyDescent="0.25">
      <c r="A289" s="182"/>
      <c r="D289" s="168"/>
      <c r="E289" s="168"/>
      <c r="F289" s="183"/>
      <c r="G289" s="183"/>
    </row>
    <row r="290" spans="1:7" s="149" customFormat="1" x14ac:dyDescent="0.25">
      <c r="A290" s="182"/>
      <c r="D290" s="168"/>
      <c r="E290" s="168"/>
      <c r="F290" s="183"/>
      <c r="G290" s="183"/>
    </row>
    <row r="291" spans="1:7" s="149" customFormat="1" x14ac:dyDescent="0.25">
      <c r="A291" s="182"/>
      <c r="D291" s="168"/>
      <c r="E291" s="168"/>
      <c r="F291" s="183"/>
      <c r="G291" s="183"/>
    </row>
    <row r="292" spans="1:7" s="149" customFormat="1" x14ac:dyDescent="0.25">
      <c r="A292" s="182"/>
      <c r="D292" s="168"/>
      <c r="E292" s="168"/>
      <c r="F292" s="183"/>
      <c r="G292" s="183"/>
    </row>
    <row r="293" spans="1:7" s="149" customFormat="1" x14ac:dyDescent="0.25">
      <c r="A293" s="182"/>
      <c r="D293" s="168"/>
      <c r="E293" s="168"/>
      <c r="F293" s="183"/>
      <c r="G293" s="183"/>
    </row>
    <row r="294" spans="1:7" s="149" customFormat="1" ht="15" customHeight="1" x14ac:dyDescent="0.25">
      <c r="A294" s="182"/>
      <c r="D294" s="168"/>
      <c r="E294" s="168"/>
      <c r="F294" s="183"/>
      <c r="G294" s="183"/>
    </row>
    <row r="295" spans="1:7" s="149" customFormat="1" x14ac:dyDescent="0.25">
      <c r="A295" s="182"/>
      <c r="D295" s="168"/>
      <c r="E295" s="168"/>
      <c r="F295" s="183"/>
      <c r="G295" s="183"/>
    </row>
    <row r="296" spans="1:7" s="149" customFormat="1" x14ac:dyDescent="0.25">
      <c r="A296" s="182"/>
      <c r="D296" s="168"/>
      <c r="E296" s="168"/>
      <c r="F296" s="183"/>
      <c r="G296" s="183"/>
    </row>
    <row r="297" spans="1:7" s="149" customFormat="1" x14ac:dyDescent="0.25">
      <c r="A297" s="182"/>
      <c r="D297" s="168"/>
      <c r="E297" s="168"/>
      <c r="F297" s="183"/>
      <c r="G297" s="183"/>
    </row>
    <row r="298" spans="1:7" s="149" customFormat="1" x14ac:dyDescent="0.25">
      <c r="A298" s="182"/>
      <c r="D298" s="168"/>
      <c r="E298" s="168"/>
      <c r="F298" s="183"/>
      <c r="G298" s="183"/>
    </row>
    <row r="299" spans="1:7" s="149" customFormat="1" x14ac:dyDescent="0.25">
      <c r="A299" s="182"/>
      <c r="D299" s="168"/>
      <c r="E299" s="168"/>
      <c r="F299" s="183"/>
      <c r="G299" s="183"/>
    </row>
    <row r="300" spans="1:7" s="149" customFormat="1" x14ac:dyDescent="0.25">
      <c r="A300" s="182"/>
      <c r="D300" s="168"/>
      <c r="E300" s="168"/>
      <c r="F300" s="183"/>
      <c r="G300" s="183"/>
    </row>
    <row r="301" spans="1:7" s="149" customFormat="1" x14ac:dyDescent="0.25">
      <c r="A301" s="182"/>
      <c r="D301" s="168"/>
      <c r="E301" s="168"/>
      <c r="F301" s="183"/>
      <c r="G301" s="183"/>
    </row>
    <row r="302" spans="1:7" s="149" customFormat="1" x14ac:dyDescent="0.25">
      <c r="A302" s="182"/>
      <c r="D302" s="168"/>
      <c r="E302" s="168"/>
      <c r="F302" s="183"/>
      <c r="G302" s="183"/>
    </row>
    <row r="303" spans="1:7" s="149" customFormat="1" x14ac:dyDescent="0.25">
      <c r="A303" s="182"/>
      <c r="D303" s="168"/>
      <c r="E303" s="168"/>
      <c r="F303" s="183"/>
      <c r="G303" s="183"/>
    </row>
    <row r="304" spans="1:7" s="149" customFormat="1" x14ac:dyDescent="0.25">
      <c r="A304" s="182"/>
      <c r="D304" s="168"/>
      <c r="E304" s="168"/>
      <c r="F304" s="183"/>
      <c r="G304" s="183"/>
    </row>
    <row r="305" spans="1:7" s="149" customFormat="1" x14ac:dyDescent="0.25">
      <c r="A305" s="182"/>
      <c r="D305" s="168"/>
      <c r="E305" s="168"/>
      <c r="F305" s="183"/>
      <c r="G305" s="183"/>
    </row>
    <row r="306" spans="1:7" s="149" customFormat="1" x14ac:dyDescent="0.25">
      <c r="A306" s="182"/>
      <c r="D306" s="168"/>
      <c r="E306" s="168"/>
      <c r="F306" s="183"/>
      <c r="G306" s="183"/>
    </row>
    <row r="307" spans="1:7" s="149" customFormat="1" x14ac:dyDescent="0.25">
      <c r="A307" s="182"/>
      <c r="D307" s="168"/>
      <c r="E307" s="168"/>
      <c r="F307" s="183"/>
      <c r="G307" s="183"/>
    </row>
    <row r="308" spans="1:7" s="149" customFormat="1" x14ac:dyDescent="0.25">
      <c r="A308" s="182"/>
      <c r="D308" s="168"/>
      <c r="E308" s="168"/>
      <c r="F308" s="183"/>
      <c r="G308" s="183"/>
    </row>
    <row r="309" spans="1:7" s="149" customFormat="1" x14ac:dyDescent="0.25">
      <c r="A309" s="182"/>
      <c r="D309" s="168"/>
      <c r="E309" s="168"/>
      <c r="F309" s="183"/>
      <c r="G309" s="183"/>
    </row>
    <row r="310" spans="1:7" s="149" customFormat="1" x14ac:dyDescent="0.25">
      <c r="A310" s="182"/>
      <c r="D310" s="168"/>
      <c r="E310" s="168"/>
      <c r="F310" s="183"/>
      <c r="G310" s="183"/>
    </row>
    <row r="311" spans="1:7" s="149" customFormat="1" x14ac:dyDescent="0.25">
      <c r="A311" s="182"/>
      <c r="D311" s="168"/>
      <c r="E311" s="168"/>
      <c r="F311" s="183"/>
      <c r="G311" s="183"/>
    </row>
    <row r="312" spans="1:7" s="149" customFormat="1" x14ac:dyDescent="0.25">
      <c r="A312" s="182"/>
      <c r="D312" s="168"/>
      <c r="E312" s="168"/>
      <c r="F312" s="183"/>
      <c r="G312" s="183"/>
    </row>
    <row r="313" spans="1:7" s="149" customFormat="1" ht="15" customHeight="1" x14ac:dyDescent="0.25">
      <c r="A313" s="182"/>
      <c r="D313" s="168"/>
      <c r="E313" s="168"/>
      <c r="F313" s="183"/>
      <c r="G313" s="183"/>
    </row>
    <row r="314" spans="1:7" s="149" customFormat="1" x14ac:dyDescent="0.25">
      <c r="A314" s="182"/>
      <c r="D314" s="168"/>
      <c r="E314" s="168"/>
      <c r="F314" s="183"/>
      <c r="G314" s="183"/>
    </row>
    <row r="315" spans="1:7" s="149" customFormat="1" x14ac:dyDescent="0.25">
      <c r="A315" s="182"/>
      <c r="D315" s="168"/>
      <c r="E315" s="168"/>
      <c r="F315" s="183"/>
      <c r="G315" s="183"/>
    </row>
    <row r="316" spans="1:7" s="149" customFormat="1" x14ac:dyDescent="0.25">
      <c r="A316" s="182"/>
      <c r="D316" s="168"/>
      <c r="E316" s="168"/>
      <c r="F316" s="183"/>
      <c r="G316" s="183"/>
    </row>
    <row r="317" spans="1:7" s="149" customFormat="1" x14ac:dyDescent="0.25">
      <c r="A317" s="182"/>
      <c r="D317" s="168"/>
      <c r="E317" s="168"/>
      <c r="F317" s="183"/>
      <c r="G317" s="183"/>
    </row>
    <row r="318" spans="1:7" s="149" customFormat="1" x14ac:dyDescent="0.25">
      <c r="A318" s="182"/>
      <c r="D318" s="168"/>
      <c r="E318" s="168"/>
      <c r="F318" s="183"/>
      <c r="G318" s="183"/>
    </row>
    <row r="319" spans="1:7" s="149" customFormat="1" x14ac:dyDescent="0.25">
      <c r="A319" s="182"/>
      <c r="D319" s="168"/>
      <c r="E319" s="168"/>
      <c r="F319" s="183"/>
      <c r="G319" s="183"/>
    </row>
    <row r="320" spans="1:7" s="149" customFormat="1" x14ac:dyDescent="0.25">
      <c r="A320" s="182"/>
      <c r="D320" s="168"/>
      <c r="E320" s="168"/>
      <c r="F320" s="183"/>
      <c r="G320" s="183"/>
    </row>
    <row r="321" spans="1:7" s="149" customFormat="1" x14ac:dyDescent="0.25">
      <c r="A321" s="182"/>
      <c r="D321" s="168"/>
      <c r="E321" s="168"/>
      <c r="F321" s="183"/>
      <c r="G321" s="183"/>
    </row>
    <row r="322" spans="1:7" s="149" customFormat="1" x14ac:dyDescent="0.25">
      <c r="A322" s="182"/>
      <c r="D322" s="168"/>
      <c r="E322" s="168"/>
      <c r="F322" s="183"/>
      <c r="G322" s="183"/>
    </row>
    <row r="323" spans="1:7" s="149" customFormat="1" x14ac:dyDescent="0.25">
      <c r="A323" s="182"/>
      <c r="D323" s="168"/>
      <c r="E323" s="168"/>
      <c r="F323" s="183"/>
      <c r="G323" s="183"/>
    </row>
    <row r="324" spans="1:7" s="149" customFormat="1" x14ac:dyDescent="0.25">
      <c r="A324" s="182"/>
      <c r="D324" s="168"/>
      <c r="E324" s="168"/>
      <c r="F324" s="183"/>
      <c r="G324" s="183"/>
    </row>
    <row r="325" spans="1:7" s="149" customFormat="1" x14ac:dyDescent="0.25">
      <c r="A325" s="182"/>
      <c r="D325" s="168"/>
      <c r="E325" s="168"/>
      <c r="F325" s="183"/>
      <c r="G325" s="183"/>
    </row>
    <row r="326" spans="1:7" s="149" customFormat="1" x14ac:dyDescent="0.25">
      <c r="A326" s="182"/>
      <c r="D326" s="168"/>
      <c r="E326" s="168"/>
      <c r="F326" s="183"/>
      <c r="G326" s="183"/>
    </row>
    <row r="327" spans="1:7" s="149" customFormat="1" x14ac:dyDescent="0.25">
      <c r="A327" s="182"/>
      <c r="D327" s="168"/>
      <c r="E327" s="168"/>
      <c r="F327" s="183"/>
      <c r="G327" s="183"/>
    </row>
    <row r="328" spans="1:7" s="149" customFormat="1" x14ac:dyDescent="0.25">
      <c r="A328" s="182"/>
      <c r="D328" s="168"/>
      <c r="E328" s="168"/>
      <c r="F328" s="183"/>
      <c r="G328" s="183"/>
    </row>
    <row r="329" spans="1:7" s="149" customFormat="1" x14ac:dyDescent="0.25">
      <c r="A329" s="182"/>
      <c r="D329" s="168"/>
      <c r="E329" s="168"/>
      <c r="F329" s="183"/>
      <c r="G329" s="183"/>
    </row>
    <row r="330" spans="1:7" s="149" customFormat="1" x14ac:dyDescent="0.25">
      <c r="A330" s="182"/>
      <c r="D330" s="168"/>
      <c r="E330" s="168"/>
      <c r="F330" s="183"/>
      <c r="G330" s="183"/>
    </row>
    <row r="331" spans="1:7" s="149" customFormat="1" x14ac:dyDescent="0.25">
      <c r="A331" s="182"/>
      <c r="D331" s="168"/>
      <c r="E331" s="168"/>
      <c r="F331" s="183"/>
      <c r="G331" s="183"/>
    </row>
    <row r="332" spans="1:7" s="149" customFormat="1" x14ac:dyDescent="0.25">
      <c r="A332" s="182"/>
      <c r="D332" s="168"/>
      <c r="E332" s="168"/>
      <c r="F332" s="183"/>
      <c r="G332" s="183"/>
    </row>
    <row r="333" spans="1:7" s="149" customFormat="1" x14ac:dyDescent="0.25">
      <c r="A333" s="182"/>
      <c r="D333" s="168"/>
      <c r="E333" s="168"/>
      <c r="F333" s="183"/>
      <c r="G333" s="183"/>
    </row>
    <row r="334" spans="1:7" s="149" customFormat="1" x14ac:dyDescent="0.25">
      <c r="A334" s="182"/>
      <c r="D334" s="168"/>
      <c r="E334" s="168"/>
      <c r="F334" s="183"/>
      <c r="G334" s="183"/>
    </row>
    <row r="335" spans="1:7" s="149" customFormat="1" x14ac:dyDescent="0.25">
      <c r="A335" s="182"/>
      <c r="D335" s="168"/>
      <c r="E335" s="168"/>
      <c r="F335" s="183"/>
      <c r="G335" s="183"/>
    </row>
    <row r="336" spans="1:7" s="149" customFormat="1" x14ac:dyDescent="0.25">
      <c r="A336" s="182"/>
      <c r="D336" s="168"/>
      <c r="E336" s="168"/>
      <c r="F336" s="183"/>
      <c r="G336" s="183"/>
    </row>
    <row r="337" spans="1:7" s="149" customFormat="1" x14ac:dyDescent="0.25">
      <c r="A337" s="182"/>
      <c r="D337" s="168"/>
      <c r="E337" s="168"/>
      <c r="F337" s="183"/>
      <c r="G337" s="183"/>
    </row>
    <row r="338" spans="1:7" s="149" customFormat="1" x14ac:dyDescent="0.25">
      <c r="A338" s="182"/>
      <c r="D338" s="168"/>
      <c r="E338" s="168"/>
      <c r="F338" s="183"/>
      <c r="G338" s="183"/>
    </row>
    <row r="339" spans="1:7" s="149" customFormat="1" x14ac:dyDescent="0.25">
      <c r="A339" s="182"/>
      <c r="D339" s="168"/>
      <c r="E339" s="168"/>
      <c r="F339" s="183"/>
      <c r="G339" s="183"/>
    </row>
    <row r="340" spans="1:7" s="149" customFormat="1" x14ac:dyDescent="0.25">
      <c r="A340" s="182"/>
      <c r="D340" s="168"/>
      <c r="E340" s="168"/>
      <c r="F340" s="183"/>
      <c r="G340" s="183"/>
    </row>
    <row r="341" spans="1:7" s="149" customFormat="1" x14ac:dyDescent="0.25">
      <c r="A341" s="182"/>
      <c r="D341" s="168"/>
      <c r="E341" s="168"/>
      <c r="F341" s="183"/>
      <c r="G341" s="183"/>
    </row>
    <row r="342" spans="1:7" s="149" customFormat="1" x14ac:dyDescent="0.25">
      <c r="A342" s="182"/>
      <c r="D342" s="168"/>
      <c r="E342" s="168"/>
      <c r="F342" s="183"/>
      <c r="G342" s="183"/>
    </row>
    <row r="343" spans="1:7" s="149" customFormat="1" x14ac:dyDescent="0.25">
      <c r="A343" s="182"/>
      <c r="D343" s="168"/>
      <c r="E343" s="168"/>
      <c r="F343" s="183"/>
      <c r="G343" s="183"/>
    </row>
    <row r="344" spans="1:7" s="149" customFormat="1" x14ac:dyDescent="0.25">
      <c r="A344" s="182"/>
      <c r="D344" s="168"/>
      <c r="E344" s="168"/>
      <c r="F344" s="183"/>
      <c r="G344" s="183"/>
    </row>
    <row r="345" spans="1:7" s="149" customFormat="1" x14ac:dyDescent="0.25">
      <c r="A345" s="182"/>
      <c r="D345" s="168"/>
      <c r="E345" s="168"/>
      <c r="F345" s="183"/>
      <c r="G345" s="183"/>
    </row>
    <row r="346" spans="1:7" s="149" customFormat="1" x14ac:dyDescent="0.25">
      <c r="A346" s="182"/>
      <c r="D346" s="168"/>
      <c r="E346" s="168"/>
      <c r="F346" s="183"/>
      <c r="G346" s="183"/>
    </row>
    <row r="347" spans="1:7" s="149" customFormat="1" x14ac:dyDescent="0.25">
      <c r="A347" s="182"/>
      <c r="D347" s="168"/>
      <c r="E347" s="168"/>
      <c r="F347" s="183"/>
      <c r="G347" s="183"/>
    </row>
    <row r="348" spans="1:7" s="149" customFormat="1" x14ac:dyDescent="0.25">
      <c r="A348" s="182"/>
      <c r="D348" s="168"/>
      <c r="E348" s="168"/>
      <c r="F348" s="183"/>
      <c r="G348" s="183"/>
    </row>
    <row r="349" spans="1:7" s="149" customFormat="1" x14ac:dyDescent="0.25">
      <c r="A349" s="182"/>
      <c r="D349" s="168"/>
      <c r="E349" s="168"/>
      <c r="F349" s="183"/>
      <c r="G349" s="183"/>
    </row>
    <row r="350" spans="1:7" s="149" customFormat="1" x14ac:dyDescent="0.25">
      <c r="A350" s="182"/>
      <c r="D350" s="168"/>
      <c r="E350" s="168"/>
      <c r="F350" s="183"/>
      <c r="G350" s="183"/>
    </row>
    <row r="351" spans="1:7" s="149" customFormat="1" x14ac:dyDescent="0.25">
      <c r="A351" s="182"/>
      <c r="D351" s="168"/>
      <c r="E351" s="168"/>
      <c r="F351" s="183"/>
      <c r="G351" s="183"/>
    </row>
    <row r="352" spans="1:7" s="149" customFormat="1" x14ac:dyDescent="0.25">
      <c r="A352" s="182"/>
      <c r="D352" s="168"/>
      <c r="E352" s="168"/>
      <c r="F352" s="183"/>
      <c r="G352" s="183"/>
    </row>
    <row r="353" spans="1:7" s="149" customFormat="1" x14ac:dyDescent="0.25">
      <c r="A353" s="182"/>
      <c r="D353" s="168"/>
      <c r="E353" s="168"/>
      <c r="F353" s="183"/>
      <c r="G353" s="183"/>
    </row>
    <row r="354" spans="1:7" s="149" customFormat="1" ht="15" customHeight="1" x14ac:dyDescent="0.25">
      <c r="A354" s="182"/>
      <c r="D354" s="168"/>
      <c r="E354" s="168"/>
      <c r="F354" s="183"/>
      <c r="G354" s="183"/>
    </row>
    <row r="355" spans="1:7" s="149" customFormat="1" x14ac:dyDescent="0.25">
      <c r="A355" s="182"/>
      <c r="D355" s="168"/>
      <c r="E355" s="168"/>
      <c r="F355" s="183"/>
      <c r="G355" s="183"/>
    </row>
    <row r="356" spans="1:7" s="149" customFormat="1" x14ac:dyDescent="0.25">
      <c r="A356" s="182"/>
      <c r="D356" s="168"/>
      <c r="E356" s="168"/>
      <c r="F356" s="183"/>
      <c r="G356" s="183"/>
    </row>
    <row r="357" spans="1:7" s="149" customFormat="1" x14ac:dyDescent="0.25">
      <c r="A357" s="182"/>
      <c r="D357" s="168"/>
      <c r="E357" s="168"/>
      <c r="F357" s="183"/>
      <c r="G357" s="183"/>
    </row>
    <row r="358" spans="1:7" s="149" customFormat="1" x14ac:dyDescent="0.25">
      <c r="A358" s="182"/>
      <c r="D358" s="168"/>
      <c r="E358" s="168"/>
      <c r="F358" s="183"/>
      <c r="G358" s="183"/>
    </row>
    <row r="359" spans="1:7" s="149" customFormat="1" x14ac:dyDescent="0.25">
      <c r="A359" s="182"/>
      <c r="D359" s="168"/>
      <c r="E359" s="168"/>
      <c r="F359" s="183"/>
      <c r="G359" s="183"/>
    </row>
    <row r="360" spans="1:7" s="149" customFormat="1" x14ac:dyDescent="0.25">
      <c r="A360" s="182"/>
      <c r="D360" s="168"/>
      <c r="E360" s="168"/>
      <c r="F360" s="183"/>
      <c r="G360" s="183"/>
    </row>
    <row r="361" spans="1:7" s="149" customFormat="1" x14ac:dyDescent="0.25">
      <c r="A361" s="182"/>
      <c r="D361" s="168"/>
      <c r="E361" s="168"/>
      <c r="F361" s="183"/>
      <c r="G361" s="183"/>
    </row>
    <row r="362" spans="1:7" s="149" customFormat="1" x14ac:dyDescent="0.25">
      <c r="A362" s="182"/>
      <c r="D362" s="168"/>
      <c r="E362" s="168"/>
      <c r="F362" s="183"/>
      <c r="G362" s="183"/>
    </row>
    <row r="363" spans="1:7" s="149" customFormat="1" x14ac:dyDescent="0.25">
      <c r="A363" s="182"/>
      <c r="D363" s="168"/>
      <c r="E363" s="168"/>
      <c r="F363" s="183"/>
      <c r="G363" s="183"/>
    </row>
    <row r="364" spans="1:7" s="149" customFormat="1" x14ac:dyDescent="0.25">
      <c r="A364" s="182"/>
      <c r="D364" s="168"/>
      <c r="E364" s="168"/>
      <c r="F364" s="183"/>
      <c r="G364" s="183"/>
    </row>
    <row r="365" spans="1:7" s="149" customFormat="1" x14ac:dyDescent="0.25">
      <c r="A365" s="182"/>
      <c r="D365" s="168"/>
      <c r="E365" s="168"/>
      <c r="F365" s="183"/>
      <c r="G365" s="183"/>
    </row>
    <row r="366" spans="1:7" s="149" customFormat="1" x14ac:dyDescent="0.25">
      <c r="A366" s="182"/>
      <c r="D366" s="168"/>
      <c r="E366" s="168"/>
      <c r="F366" s="183"/>
      <c r="G366" s="183"/>
    </row>
    <row r="367" spans="1:7" s="149" customFormat="1" x14ac:dyDescent="0.25">
      <c r="A367" s="182"/>
      <c r="D367" s="168"/>
      <c r="E367" s="168"/>
      <c r="F367" s="183"/>
      <c r="G367" s="183"/>
    </row>
    <row r="368" spans="1:7" s="149" customFormat="1" x14ac:dyDescent="0.25">
      <c r="A368" s="182"/>
      <c r="D368" s="168"/>
      <c r="E368" s="168"/>
      <c r="F368" s="183"/>
      <c r="G368" s="183"/>
    </row>
    <row r="369" spans="1:7" s="149" customFormat="1" x14ac:dyDescent="0.25">
      <c r="A369" s="182"/>
      <c r="D369" s="168"/>
      <c r="E369" s="168"/>
      <c r="F369" s="183"/>
      <c r="G369" s="183"/>
    </row>
    <row r="370" spans="1:7" s="149" customFormat="1" x14ac:dyDescent="0.25">
      <c r="A370" s="182"/>
      <c r="D370" s="168"/>
      <c r="E370" s="168"/>
      <c r="F370" s="183"/>
      <c r="G370" s="183"/>
    </row>
    <row r="371" spans="1:7" s="149" customFormat="1" x14ac:dyDescent="0.25">
      <c r="A371" s="182"/>
      <c r="D371" s="168"/>
      <c r="E371" s="168"/>
      <c r="F371" s="183"/>
      <c r="G371" s="183"/>
    </row>
    <row r="372" spans="1:7" s="149" customFormat="1" x14ac:dyDescent="0.25">
      <c r="A372" s="182"/>
      <c r="D372" s="168"/>
      <c r="E372" s="168"/>
      <c r="F372" s="183"/>
      <c r="G372" s="183"/>
    </row>
    <row r="373" spans="1:7" s="149" customFormat="1" x14ac:dyDescent="0.25">
      <c r="A373" s="182"/>
      <c r="D373" s="168"/>
      <c r="E373" s="168"/>
      <c r="F373" s="183"/>
      <c r="G373" s="183"/>
    </row>
    <row r="374" spans="1:7" s="149" customFormat="1" x14ac:dyDescent="0.25">
      <c r="A374" s="182"/>
      <c r="D374" s="168"/>
      <c r="E374" s="168"/>
      <c r="F374" s="183"/>
      <c r="G374" s="183"/>
    </row>
    <row r="375" spans="1:7" s="149" customFormat="1" x14ac:dyDescent="0.25">
      <c r="A375" s="182"/>
      <c r="D375" s="168"/>
      <c r="E375" s="168"/>
      <c r="F375" s="183"/>
      <c r="G375" s="183"/>
    </row>
    <row r="376" spans="1:7" s="149" customFormat="1" x14ac:dyDescent="0.25">
      <c r="A376" s="182"/>
      <c r="D376" s="168"/>
      <c r="E376" s="168"/>
      <c r="F376" s="183"/>
      <c r="G376" s="183"/>
    </row>
    <row r="377" spans="1:7" s="149" customFormat="1" x14ac:dyDescent="0.25">
      <c r="A377" s="182"/>
      <c r="D377" s="168"/>
      <c r="E377" s="168"/>
      <c r="F377" s="183"/>
      <c r="G377" s="183"/>
    </row>
    <row r="378" spans="1:7" s="149" customFormat="1" x14ac:dyDescent="0.25">
      <c r="A378" s="182"/>
      <c r="D378" s="168"/>
      <c r="E378" s="168"/>
      <c r="F378" s="183"/>
      <c r="G378" s="183"/>
    </row>
    <row r="379" spans="1:7" s="149" customFormat="1" x14ac:dyDescent="0.25">
      <c r="A379" s="182"/>
      <c r="D379" s="168"/>
      <c r="E379" s="168"/>
      <c r="F379" s="183"/>
      <c r="G379" s="183"/>
    </row>
    <row r="380" spans="1:7" s="149" customFormat="1" x14ac:dyDescent="0.25">
      <c r="A380" s="182"/>
      <c r="D380" s="168"/>
      <c r="E380" s="168"/>
      <c r="F380" s="183"/>
      <c r="G380" s="183"/>
    </row>
    <row r="381" spans="1:7" s="149" customFormat="1" x14ac:dyDescent="0.25">
      <c r="A381" s="182"/>
      <c r="D381" s="168"/>
      <c r="E381" s="168"/>
      <c r="F381" s="183"/>
      <c r="G381" s="183"/>
    </row>
    <row r="382" spans="1:7" s="149" customFormat="1" x14ac:dyDescent="0.25">
      <c r="A382" s="182"/>
      <c r="D382" s="168"/>
      <c r="E382" s="168"/>
      <c r="F382" s="183"/>
      <c r="G382" s="183"/>
    </row>
    <row r="383" spans="1:7" s="149" customFormat="1" x14ac:dyDescent="0.25">
      <c r="A383" s="182"/>
      <c r="D383" s="168"/>
      <c r="E383" s="168"/>
      <c r="F383" s="183"/>
      <c r="G383" s="183"/>
    </row>
    <row r="384" spans="1:7" s="149" customFormat="1" x14ac:dyDescent="0.25">
      <c r="A384" s="182"/>
      <c r="D384" s="168"/>
      <c r="E384" s="168"/>
      <c r="F384" s="183"/>
      <c r="G384" s="183"/>
    </row>
    <row r="385" spans="1:7" s="149" customFormat="1" x14ac:dyDescent="0.25">
      <c r="A385" s="182"/>
      <c r="D385" s="168"/>
      <c r="E385" s="168"/>
      <c r="F385" s="183"/>
      <c r="G385" s="183"/>
    </row>
    <row r="386" spans="1:7" s="149" customFormat="1" x14ac:dyDescent="0.25">
      <c r="A386" s="182"/>
      <c r="D386" s="168"/>
      <c r="E386" s="168"/>
      <c r="F386" s="183"/>
      <c r="G386" s="183"/>
    </row>
    <row r="387" spans="1:7" s="149" customFormat="1" x14ac:dyDescent="0.25">
      <c r="A387" s="182"/>
      <c r="D387" s="168"/>
      <c r="E387" s="168"/>
      <c r="F387" s="183"/>
      <c r="G387" s="183"/>
    </row>
    <row r="388" spans="1:7" s="149" customFormat="1" x14ac:dyDescent="0.25">
      <c r="A388" s="182"/>
      <c r="D388" s="168"/>
      <c r="E388" s="168"/>
      <c r="F388" s="183"/>
      <c r="G388" s="183"/>
    </row>
    <row r="389" spans="1:7" s="149" customFormat="1" x14ac:dyDescent="0.25">
      <c r="A389" s="182"/>
      <c r="D389" s="168"/>
      <c r="E389" s="168"/>
      <c r="F389" s="183"/>
      <c r="G389" s="183"/>
    </row>
    <row r="390" spans="1:7" s="149" customFormat="1" x14ac:dyDescent="0.25">
      <c r="A390" s="182"/>
      <c r="D390" s="168"/>
      <c r="E390" s="168"/>
      <c r="F390" s="183"/>
      <c r="G390" s="183"/>
    </row>
    <row r="391" spans="1:7" s="149" customFormat="1" x14ac:dyDescent="0.25">
      <c r="A391" s="182"/>
      <c r="D391" s="168"/>
      <c r="E391" s="168"/>
      <c r="F391" s="183"/>
      <c r="G391" s="183"/>
    </row>
    <row r="392" spans="1:7" s="149" customFormat="1" x14ac:dyDescent="0.25">
      <c r="A392" s="182"/>
      <c r="D392" s="168"/>
      <c r="E392" s="168"/>
      <c r="F392" s="183"/>
      <c r="G392" s="183"/>
    </row>
    <row r="393" spans="1:7" s="149" customFormat="1" x14ac:dyDescent="0.25">
      <c r="A393" s="182"/>
      <c r="D393" s="168"/>
      <c r="E393" s="168"/>
      <c r="F393" s="183"/>
      <c r="G393" s="183"/>
    </row>
    <row r="394" spans="1:7" s="149" customFormat="1" x14ac:dyDescent="0.25">
      <c r="A394" s="182"/>
      <c r="D394" s="168"/>
      <c r="E394" s="168"/>
      <c r="F394" s="183"/>
      <c r="G394" s="183"/>
    </row>
    <row r="395" spans="1:7" s="149" customFormat="1" x14ac:dyDescent="0.25">
      <c r="A395" s="182"/>
      <c r="D395" s="168"/>
      <c r="E395" s="168"/>
      <c r="F395" s="183"/>
      <c r="G395" s="183"/>
    </row>
    <row r="396" spans="1:7" s="149" customFormat="1" x14ac:dyDescent="0.25">
      <c r="A396" s="182"/>
      <c r="D396" s="168"/>
      <c r="E396" s="168"/>
      <c r="F396" s="183"/>
      <c r="G396" s="183"/>
    </row>
    <row r="397" spans="1:7" s="149" customFormat="1" x14ac:dyDescent="0.25">
      <c r="A397" s="182"/>
      <c r="D397" s="168"/>
      <c r="E397" s="168"/>
      <c r="F397" s="183"/>
      <c r="G397" s="183"/>
    </row>
    <row r="398" spans="1:7" s="149" customFormat="1" x14ac:dyDescent="0.25">
      <c r="A398" s="182"/>
      <c r="D398" s="168"/>
      <c r="E398" s="168"/>
      <c r="F398" s="183"/>
      <c r="G398" s="183"/>
    </row>
    <row r="399" spans="1:7" s="149" customFormat="1" x14ac:dyDescent="0.25">
      <c r="A399" s="182"/>
      <c r="D399" s="168"/>
      <c r="E399" s="168"/>
      <c r="F399" s="183"/>
      <c r="G399" s="183"/>
    </row>
    <row r="400" spans="1:7" s="149" customFormat="1" x14ac:dyDescent="0.25">
      <c r="A400" s="182"/>
      <c r="D400" s="168"/>
      <c r="E400" s="168"/>
      <c r="F400" s="183"/>
      <c r="G400" s="183"/>
    </row>
    <row r="401" spans="1:7" s="149" customFormat="1" x14ac:dyDescent="0.25">
      <c r="A401" s="182"/>
      <c r="D401" s="168"/>
      <c r="E401" s="168"/>
      <c r="F401" s="183"/>
      <c r="G401" s="183"/>
    </row>
    <row r="402" spans="1:7" s="149" customFormat="1" x14ac:dyDescent="0.25">
      <c r="A402" s="182"/>
      <c r="D402" s="168"/>
      <c r="E402" s="168"/>
      <c r="F402" s="183"/>
      <c r="G402" s="183"/>
    </row>
    <row r="403" spans="1:7" s="149" customFormat="1" x14ac:dyDescent="0.25">
      <c r="A403" s="182"/>
      <c r="D403" s="168"/>
      <c r="E403" s="168"/>
      <c r="F403" s="183"/>
      <c r="G403" s="183"/>
    </row>
    <row r="404" spans="1:7" s="149" customFormat="1" x14ac:dyDescent="0.25">
      <c r="A404" s="182"/>
      <c r="D404" s="168"/>
      <c r="E404" s="168"/>
      <c r="F404" s="183"/>
      <c r="G404" s="183"/>
    </row>
    <row r="405" spans="1:7" s="149" customFormat="1" x14ac:dyDescent="0.25">
      <c r="A405" s="182"/>
      <c r="D405" s="168"/>
      <c r="E405" s="168"/>
      <c r="F405" s="183"/>
      <c r="G405" s="183"/>
    </row>
    <row r="406" spans="1:7" s="149" customFormat="1" x14ac:dyDescent="0.25">
      <c r="A406" s="182"/>
      <c r="D406" s="168"/>
      <c r="E406" s="168"/>
      <c r="F406" s="183"/>
      <c r="G406" s="183"/>
    </row>
    <row r="407" spans="1:7" s="149" customFormat="1" x14ac:dyDescent="0.25">
      <c r="A407" s="182"/>
      <c r="D407" s="168"/>
      <c r="E407" s="168"/>
      <c r="F407" s="183"/>
      <c r="G407" s="183"/>
    </row>
    <row r="408" spans="1:7" s="149" customFormat="1" x14ac:dyDescent="0.25">
      <c r="A408" s="182"/>
      <c r="D408" s="168"/>
      <c r="E408" s="168"/>
      <c r="F408" s="183"/>
      <c r="G408" s="183"/>
    </row>
    <row r="409" spans="1:7" s="149" customFormat="1" x14ac:dyDescent="0.25">
      <c r="A409" s="182"/>
      <c r="D409" s="168"/>
      <c r="E409" s="168"/>
      <c r="F409" s="183"/>
      <c r="G409" s="183"/>
    </row>
    <row r="410" spans="1:7" s="149" customFormat="1" x14ac:dyDescent="0.25">
      <c r="A410" s="182"/>
      <c r="D410" s="168"/>
      <c r="E410" s="168"/>
      <c r="F410" s="183"/>
      <c r="G410" s="183"/>
    </row>
    <row r="411" spans="1:7" s="149" customFormat="1" x14ac:dyDescent="0.25">
      <c r="A411" s="182"/>
      <c r="D411" s="168"/>
      <c r="E411" s="168"/>
      <c r="F411" s="183"/>
      <c r="G411" s="183"/>
    </row>
    <row r="412" spans="1:7" s="149" customFormat="1" ht="15" customHeight="1" x14ac:dyDescent="0.25">
      <c r="A412" s="182"/>
      <c r="D412" s="168"/>
      <c r="E412" s="168"/>
      <c r="F412" s="183"/>
      <c r="G412" s="183"/>
    </row>
    <row r="413" spans="1:7" s="149" customFormat="1" x14ac:dyDescent="0.25">
      <c r="A413" s="182"/>
      <c r="D413" s="168"/>
      <c r="E413" s="168"/>
      <c r="F413" s="183"/>
      <c r="G413" s="183"/>
    </row>
    <row r="414" spans="1:7" s="149" customFormat="1" x14ac:dyDescent="0.25">
      <c r="A414" s="182"/>
      <c r="D414" s="168"/>
      <c r="E414" s="168"/>
      <c r="F414" s="183"/>
      <c r="G414" s="183"/>
    </row>
    <row r="415" spans="1:7" s="149" customFormat="1" x14ac:dyDescent="0.25">
      <c r="A415" s="182"/>
      <c r="D415" s="168"/>
      <c r="E415" s="168"/>
      <c r="F415" s="183"/>
      <c r="G415" s="183"/>
    </row>
    <row r="416" spans="1:7" s="149" customFormat="1" x14ac:dyDescent="0.25">
      <c r="A416" s="182"/>
      <c r="D416" s="168"/>
      <c r="E416" s="168"/>
      <c r="F416" s="183"/>
      <c r="G416" s="183"/>
    </row>
    <row r="417" spans="1:7" s="149" customFormat="1" x14ac:dyDescent="0.25">
      <c r="A417" s="182"/>
      <c r="D417" s="168"/>
      <c r="E417" s="168"/>
      <c r="F417" s="183"/>
      <c r="G417" s="183"/>
    </row>
    <row r="418" spans="1:7" s="149" customFormat="1" x14ac:dyDescent="0.25">
      <c r="A418" s="182"/>
      <c r="D418" s="168"/>
      <c r="E418" s="168"/>
      <c r="F418" s="183"/>
      <c r="G418" s="183"/>
    </row>
    <row r="419" spans="1:7" s="149" customFormat="1" x14ac:dyDescent="0.25">
      <c r="A419" s="182"/>
      <c r="D419" s="168"/>
      <c r="E419" s="168"/>
      <c r="F419" s="183"/>
      <c r="G419" s="183"/>
    </row>
    <row r="420" spans="1:7" s="149" customFormat="1" x14ac:dyDescent="0.25">
      <c r="A420" s="182"/>
      <c r="D420" s="168"/>
      <c r="E420" s="168"/>
      <c r="F420" s="183"/>
      <c r="G420" s="183"/>
    </row>
    <row r="421" spans="1:7" s="149" customFormat="1" x14ac:dyDescent="0.25">
      <c r="A421" s="182"/>
      <c r="D421" s="168"/>
      <c r="E421" s="168"/>
      <c r="F421" s="183"/>
      <c r="G421" s="183"/>
    </row>
    <row r="422" spans="1:7" s="149" customFormat="1" x14ac:dyDescent="0.25">
      <c r="A422" s="182"/>
      <c r="D422" s="168"/>
      <c r="E422" s="168"/>
      <c r="F422" s="183"/>
      <c r="G422" s="183"/>
    </row>
    <row r="423" spans="1:7" s="149" customFormat="1" x14ac:dyDescent="0.25">
      <c r="A423" s="182"/>
      <c r="D423" s="168"/>
      <c r="E423" s="168"/>
      <c r="F423" s="183"/>
      <c r="G423" s="183"/>
    </row>
    <row r="424" spans="1:7" s="149" customFormat="1" x14ac:dyDescent="0.25">
      <c r="A424" s="182"/>
      <c r="D424" s="168"/>
      <c r="E424" s="168"/>
      <c r="F424" s="183"/>
      <c r="G424" s="183"/>
    </row>
    <row r="425" spans="1:7" s="149" customFormat="1" x14ac:dyDescent="0.25">
      <c r="A425" s="182"/>
      <c r="D425" s="168"/>
      <c r="E425" s="168"/>
      <c r="F425" s="183"/>
      <c r="G425" s="183"/>
    </row>
    <row r="426" spans="1:7" s="149" customFormat="1" x14ac:dyDescent="0.25">
      <c r="A426" s="182"/>
      <c r="D426" s="168"/>
      <c r="E426" s="168"/>
      <c r="F426" s="183"/>
      <c r="G426" s="183"/>
    </row>
    <row r="427" spans="1:7" s="149" customFormat="1" x14ac:dyDescent="0.25">
      <c r="A427" s="182"/>
      <c r="D427" s="168"/>
      <c r="E427" s="168"/>
      <c r="F427" s="183"/>
      <c r="G427" s="183"/>
    </row>
    <row r="428" spans="1:7" s="149" customFormat="1" x14ac:dyDescent="0.25">
      <c r="A428" s="182"/>
      <c r="D428" s="168"/>
      <c r="E428" s="168"/>
      <c r="F428" s="183"/>
      <c r="G428" s="183"/>
    </row>
    <row r="429" spans="1:7" s="149" customFormat="1" x14ac:dyDescent="0.25">
      <c r="A429" s="182"/>
      <c r="D429" s="168"/>
      <c r="E429" s="168"/>
      <c r="F429" s="183"/>
      <c r="G429" s="183"/>
    </row>
    <row r="430" spans="1:7" s="149" customFormat="1" x14ac:dyDescent="0.25">
      <c r="A430" s="182"/>
      <c r="D430" s="168"/>
      <c r="E430" s="168"/>
      <c r="F430" s="183"/>
      <c r="G430" s="183"/>
    </row>
    <row r="431" spans="1:7" s="149" customFormat="1" x14ac:dyDescent="0.25">
      <c r="A431" s="182"/>
      <c r="D431" s="168"/>
      <c r="E431" s="168"/>
      <c r="F431" s="183"/>
      <c r="G431" s="183"/>
    </row>
    <row r="432" spans="1:7" s="149" customFormat="1" x14ac:dyDescent="0.25">
      <c r="A432" s="182"/>
      <c r="D432" s="168"/>
      <c r="E432" s="168"/>
      <c r="F432" s="183"/>
      <c r="G432" s="183"/>
    </row>
    <row r="433" spans="1:7" s="149" customFormat="1" x14ac:dyDescent="0.25">
      <c r="A433" s="182"/>
      <c r="D433" s="168"/>
      <c r="E433" s="168"/>
      <c r="F433" s="183"/>
      <c r="G433" s="183"/>
    </row>
    <row r="434" spans="1:7" s="149" customFormat="1" x14ac:dyDescent="0.25">
      <c r="A434" s="182"/>
      <c r="D434" s="168"/>
      <c r="E434" s="168"/>
      <c r="F434" s="183"/>
      <c r="G434" s="183"/>
    </row>
    <row r="435" spans="1:7" s="149" customFormat="1" x14ac:dyDescent="0.25">
      <c r="A435" s="182"/>
      <c r="D435" s="168"/>
      <c r="E435" s="168"/>
      <c r="F435" s="183"/>
      <c r="G435" s="183"/>
    </row>
    <row r="436" spans="1:7" s="149" customFormat="1" x14ac:dyDescent="0.25">
      <c r="A436" s="182"/>
      <c r="D436" s="168"/>
      <c r="E436" s="168"/>
      <c r="F436" s="183"/>
      <c r="G436" s="183"/>
    </row>
    <row r="437" spans="1:7" s="149" customFormat="1" x14ac:dyDescent="0.25">
      <c r="A437" s="182"/>
      <c r="D437" s="168"/>
      <c r="E437" s="168"/>
      <c r="F437" s="183"/>
      <c r="G437" s="183"/>
    </row>
    <row r="438" spans="1:7" s="149" customFormat="1" x14ac:dyDescent="0.25">
      <c r="A438" s="182"/>
      <c r="D438" s="168"/>
      <c r="E438" s="168"/>
      <c r="F438" s="183"/>
      <c r="G438" s="183"/>
    </row>
    <row r="439" spans="1:7" s="149" customFormat="1" x14ac:dyDescent="0.25">
      <c r="A439" s="182"/>
      <c r="D439" s="168"/>
      <c r="E439" s="168"/>
      <c r="F439" s="183"/>
      <c r="G439" s="183"/>
    </row>
    <row r="440" spans="1:7" s="149" customFormat="1" x14ac:dyDescent="0.25">
      <c r="A440" s="182"/>
      <c r="D440" s="168"/>
      <c r="E440" s="168"/>
      <c r="F440" s="183"/>
      <c r="G440" s="183"/>
    </row>
    <row r="441" spans="1:7" s="149" customFormat="1" x14ac:dyDescent="0.25">
      <c r="A441" s="182"/>
      <c r="D441" s="168"/>
      <c r="E441" s="168"/>
      <c r="F441" s="183"/>
      <c r="G441" s="183"/>
    </row>
    <row r="442" spans="1:7" s="149" customFormat="1" x14ac:dyDescent="0.25">
      <c r="A442" s="182"/>
      <c r="D442" s="168"/>
      <c r="E442" s="168"/>
      <c r="F442" s="183"/>
      <c r="G442" s="183"/>
    </row>
    <row r="443" spans="1:7" s="149" customFormat="1" x14ac:dyDescent="0.25">
      <c r="A443" s="182"/>
      <c r="D443" s="168"/>
      <c r="E443" s="168"/>
      <c r="F443" s="183"/>
      <c r="G443" s="183"/>
    </row>
    <row r="444" spans="1:7" s="149" customFormat="1" x14ac:dyDescent="0.25">
      <c r="A444" s="182"/>
      <c r="D444" s="168"/>
      <c r="E444" s="168"/>
      <c r="F444" s="183"/>
      <c r="G444" s="183"/>
    </row>
    <row r="445" spans="1:7" s="149" customFormat="1" x14ac:dyDescent="0.25">
      <c r="A445" s="182"/>
      <c r="D445" s="168"/>
      <c r="E445" s="168"/>
      <c r="F445" s="183"/>
      <c r="G445" s="183"/>
    </row>
    <row r="446" spans="1:7" s="149" customFormat="1" x14ac:dyDescent="0.25">
      <c r="A446" s="182"/>
      <c r="D446" s="168"/>
      <c r="E446" s="168"/>
      <c r="F446" s="183"/>
      <c r="G446" s="183"/>
    </row>
    <row r="447" spans="1:7" s="149" customFormat="1" x14ac:dyDescent="0.25">
      <c r="A447" s="182"/>
      <c r="D447" s="168"/>
      <c r="E447" s="168"/>
      <c r="F447" s="183"/>
      <c r="G447" s="183"/>
    </row>
    <row r="448" spans="1:7" s="149" customFormat="1" x14ac:dyDescent="0.25">
      <c r="A448" s="182"/>
      <c r="D448" s="168"/>
      <c r="E448" s="168"/>
      <c r="F448" s="183"/>
      <c r="G448" s="183"/>
    </row>
    <row r="449" spans="1:7" s="149" customFormat="1" x14ac:dyDescent="0.25">
      <c r="A449" s="182"/>
      <c r="D449" s="168"/>
      <c r="E449" s="168"/>
      <c r="F449" s="183"/>
      <c r="G449" s="183"/>
    </row>
    <row r="450" spans="1:7" s="149" customFormat="1" x14ac:dyDescent="0.25">
      <c r="A450" s="182"/>
      <c r="D450" s="168"/>
      <c r="E450" s="168"/>
      <c r="F450" s="183"/>
      <c r="G450" s="183"/>
    </row>
    <row r="451" spans="1:7" s="149" customFormat="1" x14ac:dyDescent="0.25">
      <c r="A451" s="182"/>
      <c r="D451" s="168"/>
      <c r="E451" s="168"/>
      <c r="F451" s="183"/>
      <c r="G451" s="183"/>
    </row>
    <row r="452" spans="1:7" s="149" customFormat="1" x14ac:dyDescent="0.25">
      <c r="A452" s="182"/>
      <c r="D452" s="168"/>
      <c r="E452" s="168"/>
      <c r="F452" s="183"/>
      <c r="G452" s="183"/>
    </row>
    <row r="453" spans="1:7" s="149" customFormat="1" x14ac:dyDescent="0.25">
      <c r="A453" s="182"/>
      <c r="D453" s="168"/>
      <c r="E453" s="168"/>
      <c r="F453" s="183"/>
      <c r="G453" s="183"/>
    </row>
    <row r="454" spans="1:7" s="149" customFormat="1" x14ac:dyDescent="0.25">
      <c r="A454" s="182"/>
      <c r="D454" s="168"/>
      <c r="E454" s="168"/>
      <c r="F454" s="183"/>
      <c r="G454" s="183"/>
    </row>
    <row r="455" spans="1:7" s="149" customFormat="1" x14ac:dyDescent="0.25">
      <c r="A455" s="182"/>
      <c r="D455" s="168"/>
      <c r="E455" s="168"/>
      <c r="F455" s="183"/>
      <c r="G455" s="183"/>
    </row>
    <row r="456" spans="1:7" s="149" customFormat="1" x14ac:dyDescent="0.25">
      <c r="A456" s="182"/>
      <c r="D456" s="168"/>
      <c r="E456" s="168"/>
      <c r="F456" s="183"/>
      <c r="G456" s="183"/>
    </row>
    <row r="457" spans="1:7" s="149" customFormat="1" x14ac:dyDescent="0.25">
      <c r="A457" s="182"/>
      <c r="D457" s="168"/>
      <c r="E457" s="168"/>
      <c r="F457" s="183"/>
      <c r="G457" s="183"/>
    </row>
    <row r="458" spans="1:7" s="149" customFormat="1" x14ac:dyDescent="0.25">
      <c r="A458" s="182"/>
      <c r="D458" s="168"/>
      <c r="E458" s="168"/>
      <c r="F458" s="183"/>
      <c r="G458" s="183"/>
    </row>
    <row r="459" spans="1:7" s="149" customFormat="1" x14ac:dyDescent="0.25">
      <c r="A459" s="182"/>
      <c r="D459" s="168"/>
      <c r="E459" s="168"/>
      <c r="F459" s="183"/>
      <c r="G459" s="183"/>
    </row>
    <row r="460" spans="1:7" s="149" customFormat="1" x14ac:dyDescent="0.25">
      <c r="A460" s="182"/>
      <c r="D460" s="168"/>
      <c r="E460" s="168"/>
      <c r="F460" s="183"/>
      <c r="G460" s="183"/>
    </row>
    <row r="461" spans="1:7" s="149" customFormat="1" x14ac:dyDescent="0.25">
      <c r="A461" s="182"/>
      <c r="D461" s="168"/>
      <c r="E461" s="168"/>
      <c r="F461" s="183"/>
      <c r="G461" s="183"/>
    </row>
    <row r="462" spans="1:7" s="149" customFormat="1" x14ac:dyDescent="0.25">
      <c r="A462" s="182"/>
      <c r="D462" s="168"/>
      <c r="E462" s="168"/>
      <c r="F462" s="183"/>
      <c r="G462" s="183"/>
    </row>
    <row r="463" spans="1:7" s="149" customFormat="1" x14ac:dyDescent="0.25">
      <c r="A463" s="182"/>
      <c r="D463" s="168"/>
      <c r="E463" s="168"/>
      <c r="F463" s="183"/>
      <c r="G463" s="183"/>
    </row>
    <row r="464" spans="1:7" s="149" customFormat="1" x14ac:dyDescent="0.25">
      <c r="A464" s="182"/>
      <c r="D464" s="168"/>
      <c r="E464" s="168"/>
      <c r="F464" s="183"/>
      <c r="G464" s="183"/>
    </row>
    <row r="465" spans="1:7" s="149" customFormat="1" x14ac:dyDescent="0.25">
      <c r="A465" s="182"/>
      <c r="D465" s="168"/>
      <c r="E465" s="168"/>
      <c r="F465" s="183"/>
      <c r="G465" s="183"/>
    </row>
    <row r="466" spans="1:7" s="149" customFormat="1" x14ac:dyDescent="0.25">
      <c r="A466" s="182"/>
      <c r="D466" s="168"/>
      <c r="E466" s="168"/>
      <c r="F466" s="183"/>
      <c r="G466" s="183"/>
    </row>
    <row r="467" spans="1:7" s="149" customFormat="1" x14ac:dyDescent="0.25">
      <c r="A467" s="182"/>
      <c r="D467" s="168"/>
      <c r="E467" s="168"/>
      <c r="F467" s="183"/>
      <c r="G467" s="183"/>
    </row>
    <row r="468" spans="1:7" s="149" customFormat="1" x14ac:dyDescent="0.25">
      <c r="A468" s="182"/>
      <c r="D468" s="168"/>
      <c r="E468" s="168"/>
      <c r="F468" s="183"/>
      <c r="G468" s="183"/>
    </row>
    <row r="469" spans="1:7" s="149" customFormat="1" x14ac:dyDescent="0.25">
      <c r="A469" s="182"/>
      <c r="D469" s="168"/>
      <c r="E469" s="168"/>
      <c r="F469" s="183"/>
      <c r="G469" s="183"/>
    </row>
    <row r="470" spans="1:7" s="149" customFormat="1" x14ac:dyDescent="0.25">
      <c r="A470" s="182"/>
      <c r="D470" s="168"/>
      <c r="E470" s="168"/>
      <c r="F470" s="183"/>
      <c r="G470" s="183"/>
    </row>
    <row r="471" spans="1:7" s="149" customFormat="1" x14ac:dyDescent="0.25">
      <c r="A471" s="182"/>
      <c r="D471" s="168"/>
      <c r="E471" s="168"/>
      <c r="F471" s="183"/>
      <c r="G471" s="183"/>
    </row>
    <row r="472" spans="1:7" s="149" customFormat="1" x14ac:dyDescent="0.25">
      <c r="A472" s="182"/>
      <c r="D472" s="168"/>
      <c r="E472" s="168"/>
      <c r="F472" s="183"/>
      <c r="G472" s="183"/>
    </row>
    <row r="473" spans="1:7" s="149" customFormat="1" x14ac:dyDescent="0.25">
      <c r="A473" s="182"/>
      <c r="D473" s="168"/>
      <c r="E473" s="168"/>
      <c r="F473" s="183"/>
      <c r="G473" s="183"/>
    </row>
    <row r="474" spans="1:7" s="149" customFormat="1" x14ac:dyDescent="0.25">
      <c r="A474" s="182"/>
      <c r="D474" s="168"/>
      <c r="E474" s="168"/>
      <c r="F474" s="183"/>
      <c r="G474" s="183"/>
    </row>
    <row r="475" spans="1:7" s="149" customFormat="1" x14ac:dyDescent="0.25">
      <c r="A475" s="182"/>
      <c r="D475" s="168"/>
      <c r="E475" s="168"/>
      <c r="F475" s="183"/>
      <c r="G475" s="183"/>
    </row>
    <row r="476" spans="1:7" s="149" customFormat="1" x14ac:dyDescent="0.25">
      <c r="A476" s="182"/>
      <c r="D476" s="168"/>
      <c r="E476" s="168"/>
      <c r="F476" s="183"/>
      <c r="G476" s="183"/>
    </row>
    <row r="477" spans="1:7" s="149" customFormat="1" x14ac:dyDescent="0.25">
      <c r="A477" s="182"/>
      <c r="D477" s="168"/>
      <c r="E477" s="168"/>
      <c r="F477" s="183"/>
      <c r="G477" s="183"/>
    </row>
    <row r="478" spans="1:7" s="149" customFormat="1" x14ac:dyDescent="0.25">
      <c r="A478" s="182"/>
      <c r="D478" s="168"/>
      <c r="E478" s="168"/>
      <c r="F478" s="183"/>
      <c r="G478" s="183"/>
    </row>
    <row r="479" spans="1:7" s="149" customFormat="1" x14ac:dyDescent="0.25">
      <c r="A479" s="182"/>
      <c r="D479" s="168"/>
      <c r="E479" s="168"/>
      <c r="F479" s="183"/>
      <c r="G479" s="183"/>
    </row>
    <row r="480" spans="1:7" s="149" customFormat="1" x14ac:dyDescent="0.25">
      <c r="A480" s="182"/>
      <c r="D480" s="168"/>
      <c r="E480" s="168"/>
      <c r="F480" s="183"/>
      <c r="G480" s="183"/>
    </row>
    <row r="481" spans="1:7" s="149" customFormat="1" x14ac:dyDescent="0.25">
      <c r="A481" s="182"/>
      <c r="D481" s="168"/>
      <c r="E481" s="168"/>
      <c r="F481" s="183"/>
      <c r="G481" s="183"/>
    </row>
    <row r="482" spans="1:7" s="149" customFormat="1" x14ac:dyDescent="0.25">
      <c r="A482" s="182"/>
      <c r="D482" s="168"/>
      <c r="E482" s="168"/>
      <c r="F482" s="183"/>
      <c r="G482" s="183"/>
    </row>
    <row r="483" spans="1:7" s="149" customFormat="1" x14ac:dyDescent="0.25">
      <c r="A483" s="182"/>
      <c r="D483" s="168"/>
      <c r="E483" s="168"/>
      <c r="F483" s="183"/>
      <c r="G483" s="183"/>
    </row>
    <row r="484" spans="1:7" s="149" customFormat="1" x14ac:dyDescent="0.25">
      <c r="A484" s="182"/>
      <c r="D484" s="168"/>
      <c r="E484" s="168"/>
      <c r="F484" s="183"/>
      <c r="G484" s="183"/>
    </row>
    <row r="485" spans="1:7" s="149" customFormat="1" x14ac:dyDescent="0.25">
      <c r="A485" s="182"/>
      <c r="D485" s="168"/>
      <c r="E485" s="168"/>
      <c r="F485" s="183"/>
      <c r="G485" s="183"/>
    </row>
    <row r="486" spans="1:7" s="149" customFormat="1" x14ac:dyDescent="0.25">
      <c r="A486" s="182"/>
      <c r="D486" s="168"/>
      <c r="E486" s="168"/>
      <c r="F486" s="183"/>
      <c r="G486" s="183"/>
    </row>
    <row r="487" spans="1:7" s="149" customFormat="1" x14ac:dyDescent="0.25">
      <c r="A487" s="182"/>
      <c r="D487" s="168"/>
      <c r="E487" s="168"/>
      <c r="F487" s="183"/>
      <c r="G487" s="183"/>
    </row>
    <row r="488" spans="1:7" s="149" customFormat="1" x14ac:dyDescent="0.25">
      <c r="A488" s="182"/>
      <c r="D488" s="168"/>
      <c r="E488" s="168"/>
      <c r="F488" s="183"/>
      <c r="G488" s="183"/>
    </row>
    <row r="489" spans="1:7" s="149" customFormat="1" x14ac:dyDescent="0.25">
      <c r="A489" s="182"/>
      <c r="D489" s="168"/>
      <c r="E489" s="168"/>
      <c r="F489" s="183"/>
      <c r="G489" s="183"/>
    </row>
    <row r="490" spans="1:7" s="149" customFormat="1" x14ac:dyDescent="0.25">
      <c r="A490" s="182"/>
      <c r="D490" s="168"/>
      <c r="E490" s="168"/>
      <c r="F490" s="183"/>
      <c r="G490" s="183"/>
    </row>
    <row r="491" spans="1:7" s="149" customFormat="1" x14ac:dyDescent="0.25">
      <c r="A491" s="182"/>
      <c r="D491" s="168"/>
      <c r="E491" s="168"/>
      <c r="F491" s="183"/>
      <c r="G491" s="183"/>
    </row>
    <row r="492" spans="1:7" s="149" customFormat="1" x14ac:dyDescent="0.25">
      <c r="A492" s="182"/>
      <c r="D492" s="168"/>
      <c r="E492" s="168"/>
      <c r="F492" s="183"/>
      <c r="G492" s="183"/>
    </row>
    <row r="493" spans="1:7" s="149" customFormat="1" x14ac:dyDescent="0.25">
      <c r="A493" s="182"/>
      <c r="D493" s="168"/>
      <c r="E493" s="168"/>
      <c r="F493" s="183"/>
      <c r="G493" s="183"/>
    </row>
    <row r="494" spans="1:7" s="149" customFormat="1" x14ac:dyDescent="0.25">
      <c r="A494" s="182"/>
      <c r="D494" s="168"/>
      <c r="E494" s="168"/>
      <c r="F494" s="183"/>
      <c r="G494" s="183"/>
    </row>
    <row r="495" spans="1:7" s="149" customFormat="1" x14ac:dyDescent="0.25">
      <c r="A495" s="182"/>
      <c r="D495" s="168"/>
      <c r="E495" s="168"/>
      <c r="F495" s="183"/>
      <c r="G495" s="183"/>
    </row>
    <row r="496" spans="1:7" s="149" customFormat="1" x14ac:dyDescent="0.25">
      <c r="A496" s="182"/>
      <c r="D496" s="168"/>
      <c r="E496" s="168"/>
      <c r="F496" s="183"/>
      <c r="G496" s="183"/>
    </row>
    <row r="497" spans="1:7" s="149" customFormat="1" x14ac:dyDescent="0.25">
      <c r="A497" s="182"/>
      <c r="D497" s="168"/>
      <c r="E497" s="168"/>
      <c r="F497" s="183"/>
      <c r="G497" s="183"/>
    </row>
    <row r="498" spans="1:7" s="149" customFormat="1" x14ac:dyDescent="0.25">
      <c r="A498" s="182"/>
      <c r="D498" s="168"/>
      <c r="E498" s="168"/>
      <c r="F498" s="183"/>
      <c r="G498" s="183"/>
    </row>
    <row r="499" spans="1:7" s="149" customFormat="1" x14ac:dyDescent="0.25">
      <c r="A499" s="182"/>
      <c r="D499" s="168"/>
      <c r="E499" s="168"/>
      <c r="F499" s="183"/>
      <c r="G499" s="183"/>
    </row>
    <row r="500" spans="1:7" s="149" customFormat="1" ht="15" customHeight="1" x14ac:dyDescent="0.25">
      <c r="A500" s="182"/>
      <c r="D500" s="168"/>
      <c r="E500" s="168"/>
      <c r="F500" s="183"/>
      <c r="G500" s="183"/>
    </row>
    <row r="501" spans="1:7" s="149" customFormat="1" x14ac:dyDescent="0.25">
      <c r="A501" s="182"/>
      <c r="D501" s="168"/>
      <c r="E501" s="168"/>
      <c r="F501" s="183"/>
      <c r="G501" s="183"/>
    </row>
    <row r="502" spans="1:7" s="149" customFormat="1" x14ac:dyDescent="0.25">
      <c r="A502" s="182"/>
      <c r="D502" s="168"/>
      <c r="E502" s="168"/>
      <c r="F502" s="183"/>
      <c r="G502" s="183"/>
    </row>
    <row r="503" spans="1:7" s="149" customFormat="1" x14ac:dyDescent="0.25">
      <c r="A503" s="182"/>
      <c r="D503" s="168"/>
      <c r="E503" s="168"/>
      <c r="F503" s="183"/>
      <c r="G503" s="183"/>
    </row>
    <row r="504" spans="1:7" s="149" customFormat="1" x14ac:dyDescent="0.25">
      <c r="A504" s="182"/>
      <c r="D504" s="168"/>
      <c r="E504" s="168"/>
      <c r="F504" s="183"/>
      <c r="G504" s="183"/>
    </row>
    <row r="505" spans="1:7" s="149" customFormat="1" x14ac:dyDescent="0.25">
      <c r="A505" s="182"/>
      <c r="D505" s="168"/>
      <c r="E505" s="168"/>
      <c r="F505" s="183"/>
      <c r="G505" s="183"/>
    </row>
    <row r="506" spans="1:7" s="149" customFormat="1" x14ac:dyDescent="0.25">
      <c r="A506" s="182"/>
      <c r="D506" s="168"/>
      <c r="E506" s="168"/>
      <c r="F506" s="183"/>
      <c r="G506" s="183"/>
    </row>
    <row r="507" spans="1:7" s="149" customFormat="1" x14ac:dyDescent="0.25">
      <c r="A507" s="182"/>
      <c r="D507" s="168"/>
      <c r="E507" s="168"/>
      <c r="F507" s="183"/>
      <c r="G507" s="183"/>
    </row>
    <row r="508" spans="1:7" s="149" customFormat="1" x14ac:dyDescent="0.25">
      <c r="A508" s="182"/>
      <c r="D508" s="168"/>
      <c r="E508" s="168"/>
      <c r="F508" s="183"/>
      <c r="G508" s="183"/>
    </row>
    <row r="509" spans="1:7" s="149" customFormat="1" x14ac:dyDescent="0.25">
      <c r="A509" s="182"/>
      <c r="D509" s="168"/>
      <c r="E509" s="168"/>
      <c r="F509" s="183"/>
      <c r="G509" s="183"/>
    </row>
    <row r="510" spans="1:7" s="149" customFormat="1" x14ac:dyDescent="0.25">
      <c r="A510" s="182"/>
      <c r="D510" s="168"/>
      <c r="E510" s="168"/>
      <c r="F510" s="183"/>
      <c r="G510" s="183"/>
    </row>
    <row r="511" spans="1:7" s="149" customFormat="1" x14ac:dyDescent="0.25">
      <c r="A511" s="182"/>
      <c r="D511" s="168"/>
      <c r="E511" s="168"/>
      <c r="F511" s="183"/>
      <c r="G511" s="183"/>
    </row>
    <row r="512" spans="1:7" s="149" customFormat="1" x14ac:dyDescent="0.25">
      <c r="A512" s="182"/>
      <c r="D512" s="168"/>
      <c r="E512" s="168"/>
      <c r="F512" s="183"/>
      <c r="G512" s="183"/>
    </row>
    <row r="513" spans="1:7" s="149" customFormat="1" x14ac:dyDescent="0.25">
      <c r="A513" s="182"/>
      <c r="D513" s="168"/>
      <c r="E513" s="168"/>
      <c r="F513" s="183"/>
      <c r="G513" s="183"/>
    </row>
    <row r="514" spans="1:7" s="149" customFormat="1" x14ac:dyDescent="0.25">
      <c r="A514" s="182"/>
      <c r="D514" s="168"/>
      <c r="E514" s="168"/>
      <c r="F514" s="183"/>
      <c r="G514" s="183"/>
    </row>
    <row r="515" spans="1:7" s="149" customFormat="1" x14ac:dyDescent="0.25">
      <c r="A515" s="182"/>
      <c r="D515" s="168"/>
      <c r="E515" s="168"/>
      <c r="F515" s="183"/>
      <c r="G515" s="183"/>
    </row>
    <row r="516" spans="1:7" s="149" customFormat="1" x14ac:dyDescent="0.25">
      <c r="A516" s="182"/>
      <c r="D516" s="168"/>
      <c r="E516" s="168"/>
      <c r="F516" s="183"/>
      <c r="G516" s="183"/>
    </row>
    <row r="517" spans="1:7" s="149" customFormat="1" x14ac:dyDescent="0.25">
      <c r="A517" s="182"/>
      <c r="D517" s="168"/>
      <c r="E517" s="168"/>
      <c r="F517" s="183"/>
      <c r="G517" s="183"/>
    </row>
    <row r="518" spans="1:7" s="149" customFormat="1" x14ac:dyDescent="0.25">
      <c r="A518" s="182"/>
      <c r="D518" s="168"/>
      <c r="E518" s="168"/>
      <c r="F518" s="183"/>
      <c r="G518" s="183"/>
    </row>
    <row r="519" spans="1:7" s="149" customFormat="1" x14ac:dyDescent="0.25">
      <c r="A519" s="182"/>
      <c r="D519" s="168"/>
      <c r="E519" s="168"/>
      <c r="F519" s="183"/>
      <c r="G519" s="183"/>
    </row>
    <row r="520" spans="1:7" s="149" customFormat="1" x14ac:dyDescent="0.25">
      <c r="A520" s="182"/>
      <c r="D520" s="168"/>
      <c r="E520" s="168"/>
      <c r="F520" s="183"/>
      <c r="G520" s="183"/>
    </row>
    <row r="521" spans="1:7" s="149" customFormat="1" x14ac:dyDescent="0.25">
      <c r="A521" s="182"/>
      <c r="D521" s="168"/>
      <c r="E521" s="168"/>
      <c r="F521" s="183"/>
      <c r="G521" s="183"/>
    </row>
    <row r="522" spans="1:7" s="149" customFormat="1" x14ac:dyDescent="0.25">
      <c r="A522" s="182"/>
      <c r="D522" s="168"/>
      <c r="E522" s="168"/>
      <c r="F522" s="183"/>
      <c r="G522" s="183"/>
    </row>
    <row r="523" spans="1:7" s="149" customFormat="1" x14ac:dyDescent="0.25">
      <c r="A523" s="182"/>
      <c r="D523" s="168"/>
      <c r="E523" s="168"/>
      <c r="F523" s="183"/>
      <c r="G523" s="183"/>
    </row>
    <row r="524" spans="1:7" s="149" customFormat="1" x14ac:dyDescent="0.25">
      <c r="A524" s="182"/>
      <c r="D524" s="168"/>
      <c r="E524" s="168"/>
      <c r="F524" s="183"/>
      <c r="G524" s="183"/>
    </row>
    <row r="525" spans="1:7" s="149" customFormat="1" x14ac:dyDescent="0.25">
      <c r="A525" s="182"/>
      <c r="D525" s="168"/>
      <c r="E525" s="168"/>
      <c r="F525" s="183"/>
      <c r="G525" s="183"/>
    </row>
    <row r="526" spans="1:7" s="149" customFormat="1" x14ac:dyDescent="0.25">
      <c r="A526" s="182"/>
      <c r="D526" s="168"/>
      <c r="E526" s="168"/>
      <c r="F526" s="183"/>
      <c r="G526" s="183"/>
    </row>
    <row r="527" spans="1:7" s="149" customFormat="1" x14ac:dyDescent="0.25">
      <c r="A527" s="182"/>
      <c r="D527" s="168"/>
      <c r="E527" s="168"/>
      <c r="F527" s="183"/>
      <c r="G527" s="183"/>
    </row>
    <row r="528" spans="1:7" s="149" customFormat="1" x14ac:dyDescent="0.25">
      <c r="A528" s="182"/>
      <c r="D528" s="168"/>
      <c r="E528" s="168"/>
      <c r="F528" s="183"/>
      <c r="G528" s="183"/>
    </row>
    <row r="529" spans="1:7" s="149" customFormat="1" x14ac:dyDescent="0.25">
      <c r="A529" s="182"/>
      <c r="D529" s="168"/>
      <c r="E529" s="168"/>
      <c r="F529" s="183"/>
      <c r="G529" s="183"/>
    </row>
    <row r="530" spans="1:7" s="149" customFormat="1" x14ac:dyDescent="0.25">
      <c r="A530" s="182"/>
      <c r="D530" s="168"/>
      <c r="E530" s="168"/>
      <c r="F530" s="183"/>
      <c r="G530" s="183"/>
    </row>
    <row r="531" spans="1:7" s="149" customFormat="1" x14ac:dyDescent="0.25">
      <c r="A531" s="182"/>
      <c r="D531" s="168"/>
      <c r="E531" s="168"/>
      <c r="F531" s="183"/>
      <c r="G531" s="183"/>
    </row>
    <row r="532" spans="1:7" s="149" customFormat="1" x14ac:dyDescent="0.25">
      <c r="A532" s="182"/>
      <c r="D532" s="168"/>
      <c r="E532" s="168"/>
      <c r="F532" s="183"/>
      <c r="G532" s="183"/>
    </row>
    <row r="533" spans="1:7" s="149" customFormat="1" x14ac:dyDescent="0.25">
      <c r="A533" s="182"/>
      <c r="D533" s="168"/>
      <c r="E533" s="168"/>
      <c r="F533" s="183"/>
      <c r="G533" s="183"/>
    </row>
    <row r="534" spans="1:7" s="149" customFormat="1" x14ac:dyDescent="0.25">
      <c r="A534" s="182"/>
      <c r="D534" s="168"/>
      <c r="E534" s="168"/>
      <c r="F534" s="183"/>
      <c r="G534" s="183"/>
    </row>
    <row r="535" spans="1:7" s="149" customFormat="1" x14ac:dyDescent="0.25">
      <c r="A535" s="182"/>
      <c r="D535" s="168"/>
      <c r="E535" s="168"/>
      <c r="F535" s="183"/>
      <c r="G535" s="183"/>
    </row>
    <row r="536" spans="1:7" s="149" customFormat="1" x14ac:dyDescent="0.25">
      <c r="A536" s="182"/>
      <c r="D536" s="168"/>
      <c r="E536" s="168"/>
      <c r="F536" s="183"/>
      <c r="G536" s="183"/>
    </row>
    <row r="537" spans="1:7" s="149" customFormat="1" x14ac:dyDescent="0.25">
      <c r="A537" s="182"/>
      <c r="D537" s="168"/>
      <c r="E537" s="168"/>
      <c r="F537" s="183"/>
      <c r="G537" s="183"/>
    </row>
    <row r="538" spans="1:7" s="149" customFormat="1" x14ac:dyDescent="0.25">
      <c r="A538" s="182"/>
      <c r="D538" s="168"/>
      <c r="E538" s="168"/>
      <c r="F538" s="183"/>
      <c r="G538" s="183"/>
    </row>
    <row r="539" spans="1:7" s="149" customFormat="1" x14ac:dyDescent="0.25">
      <c r="A539" s="182"/>
      <c r="D539" s="168"/>
      <c r="E539" s="168"/>
      <c r="F539" s="183"/>
      <c r="G539" s="183"/>
    </row>
    <row r="540" spans="1:7" s="149" customFormat="1" x14ac:dyDescent="0.25">
      <c r="A540" s="182"/>
      <c r="D540" s="168"/>
      <c r="E540" s="168"/>
      <c r="F540" s="183"/>
      <c r="G540" s="183"/>
    </row>
    <row r="541" spans="1:7" s="149" customFormat="1" x14ac:dyDescent="0.25">
      <c r="A541" s="182"/>
      <c r="D541" s="168"/>
      <c r="E541" s="168"/>
      <c r="F541" s="183"/>
      <c r="G541" s="183"/>
    </row>
    <row r="542" spans="1:7" s="149" customFormat="1" x14ac:dyDescent="0.25">
      <c r="A542" s="182"/>
      <c r="D542" s="168"/>
      <c r="E542" s="168"/>
      <c r="F542" s="183"/>
      <c r="G542" s="183"/>
    </row>
    <row r="543" spans="1:7" s="149" customFormat="1" x14ac:dyDescent="0.25">
      <c r="A543" s="182"/>
      <c r="D543" s="168"/>
      <c r="E543" s="168"/>
      <c r="F543" s="183"/>
      <c r="G543" s="183"/>
    </row>
    <row r="544" spans="1:7" s="149" customFormat="1" x14ac:dyDescent="0.25">
      <c r="A544" s="182"/>
      <c r="D544" s="168"/>
      <c r="E544" s="168"/>
      <c r="F544" s="183"/>
      <c r="G544" s="183"/>
    </row>
    <row r="545" spans="1:7" s="149" customFormat="1" x14ac:dyDescent="0.25">
      <c r="A545" s="182"/>
      <c r="D545" s="168"/>
      <c r="E545" s="168"/>
      <c r="F545" s="183"/>
      <c r="G545" s="183"/>
    </row>
    <row r="546" spans="1:7" s="149" customFormat="1" x14ac:dyDescent="0.25">
      <c r="A546" s="182"/>
      <c r="D546" s="168"/>
      <c r="E546" s="168"/>
      <c r="F546" s="183"/>
      <c r="G546" s="183"/>
    </row>
    <row r="547" spans="1:7" s="149" customFormat="1" x14ac:dyDescent="0.25">
      <c r="A547" s="182"/>
      <c r="D547" s="168"/>
      <c r="E547" s="168"/>
      <c r="F547" s="183"/>
      <c r="G547" s="183"/>
    </row>
    <row r="548" spans="1:7" s="149" customFormat="1" x14ac:dyDescent="0.25">
      <c r="A548" s="182"/>
      <c r="D548" s="168"/>
      <c r="E548" s="168"/>
      <c r="F548" s="183"/>
      <c r="G548" s="183"/>
    </row>
    <row r="549" spans="1:7" s="149" customFormat="1" x14ac:dyDescent="0.25">
      <c r="A549" s="182"/>
      <c r="D549" s="168"/>
      <c r="E549" s="168"/>
      <c r="F549" s="183"/>
      <c r="G549" s="183"/>
    </row>
    <row r="550" spans="1:7" s="149" customFormat="1" x14ac:dyDescent="0.25">
      <c r="A550" s="182"/>
      <c r="D550" s="168"/>
      <c r="E550" s="168"/>
      <c r="F550" s="183"/>
      <c r="G550" s="183"/>
    </row>
    <row r="551" spans="1:7" s="149" customFormat="1" x14ac:dyDescent="0.25">
      <c r="A551" s="182"/>
      <c r="D551" s="168"/>
      <c r="E551" s="168"/>
      <c r="F551" s="183"/>
      <c r="G551" s="183"/>
    </row>
    <row r="552" spans="1:7" s="149" customFormat="1" x14ac:dyDescent="0.25">
      <c r="A552" s="182"/>
      <c r="D552" s="168"/>
      <c r="E552" s="168"/>
      <c r="F552" s="183"/>
      <c r="G552" s="183"/>
    </row>
    <row r="553" spans="1:7" s="149" customFormat="1" x14ac:dyDescent="0.25">
      <c r="A553" s="182"/>
      <c r="D553" s="168"/>
      <c r="E553" s="168"/>
      <c r="F553" s="183"/>
      <c r="G553" s="183"/>
    </row>
    <row r="554" spans="1:7" s="149" customFormat="1" x14ac:dyDescent="0.25">
      <c r="A554" s="182"/>
      <c r="D554" s="168"/>
      <c r="E554" s="168"/>
      <c r="F554" s="183"/>
      <c r="G554" s="183"/>
    </row>
    <row r="555" spans="1:7" s="149" customFormat="1" x14ac:dyDescent="0.25">
      <c r="A555" s="182"/>
      <c r="D555" s="168"/>
      <c r="E555" s="168"/>
      <c r="F555" s="183"/>
      <c r="G555" s="183"/>
    </row>
    <row r="556" spans="1:7" s="149" customFormat="1" x14ac:dyDescent="0.25">
      <c r="A556" s="182"/>
      <c r="D556" s="168"/>
      <c r="E556" s="168"/>
      <c r="F556" s="183"/>
      <c r="G556" s="183"/>
    </row>
    <row r="557" spans="1:7" s="149" customFormat="1" x14ac:dyDescent="0.25">
      <c r="A557" s="182"/>
      <c r="D557" s="168"/>
      <c r="E557" s="168"/>
      <c r="F557" s="183"/>
      <c r="G557" s="183"/>
    </row>
    <row r="558" spans="1:7" s="149" customFormat="1" x14ac:dyDescent="0.25">
      <c r="A558" s="182"/>
      <c r="D558" s="168"/>
      <c r="E558" s="168"/>
      <c r="F558" s="183"/>
      <c r="G558" s="183"/>
    </row>
    <row r="559" spans="1:7" s="149" customFormat="1" x14ac:dyDescent="0.25">
      <c r="A559" s="182"/>
      <c r="D559" s="168"/>
      <c r="E559" s="168"/>
      <c r="F559" s="183"/>
      <c r="G559" s="183"/>
    </row>
    <row r="560" spans="1:7" s="149" customFormat="1" x14ac:dyDescent="0.25">
      <c r="A560" s="182"/>
      <c r="D560" s="168"/>
      <c r="E560" s="168"/>
      <c r="F560" s="183"/>
      <c r="G560" s="183"/>
    </row>
    <row r="561" spans="1:7" s="149" customFormat="1" x14ac:dyDescent="0.25">
      <c r="A561" s="182"/>
      <c r="D561" s="168"/>
      <c r="E561" s="168"/>
      <c r="F561" s="183"/>
      <c r="G561" s="183"/>
    </row>
    <row r="562" spans="1:7" s="149" customFormat="1" x14ac:dyDescent="0.25">
      <c r="A562" s="182"/>
      <c r="D562" s="168"/>
      <c r="E562" s="168"/>
      <c r="F562" s="183"/>
      <c r="G562" s="183"/>
    </row>
    <row r="563" spans="1:7" s="149" customFormat="1" x14ac:dyDescent="0.25">
      <c r="A563" s="182"/>
      <c r="D563" s="168"/>
      <c r="E563" s="168"/>
      <c r="F563" s="183"/>
      <c r="G563" s="183"/>
    </row>
    <row r="564" spans="1:7" s="149" customFormat="1" x14ac:dyDescent="0.25">
      <c r="A564" s="182"/>
      <c r="D564" s="168"/>
      <c r="E564" s="168"/>
      <c r="F564" s="183"/>
      <c r="G564" s="183"/>
    </row>
    <row r="565" spans="1:7" s="149" customFormat="1" x14ac:dyDescent="0.25">
      <c r="A565" s="182"/>
      <c r="D565" s="168"/>
      <c r="E565" s="168"/>
      <c r="F565" s="183"/>
      <c r="G565" s="183"/>
    </row>
    <row r="566" spans="1:7" s="149" customFormat="1" x14ac:dyDescent="0.25">
      <c r="A566" s="182"/>
      <c r="D566" s="168"/>
      <c r="E566" s="168"/>
      <c r="F566" s="183"/>
      <c r="G566" s="183"/>
    </row>
    <row r="567" spans="1:7" s="149" customFormat="1" x14ac:dyDescent="0.25">
      <c r="A567" s="182"/>
      <c r="D567" s="168"/>
      <c r="E567" s="168"/>
      <c r="F567" s="183"/>
      <c r="G567" s="183"/>
    </row>
    <row r="568" spans="1:7" s="149" customFormat="1" x14ac:dyDescent="0.25">
      <c r="A568" s="182"/>
      <c r="D568" s="168"/>
      <c r="E568" s="168"/>
      <c r="F568" s="183"/>
      <c r="G568" s="183"/>
    </row>
    <row r="569" spans="1:7" s="149" customFormat="1" x14ac:dyDescent="0.25">
      <c r="A569" s="182"/>
      <c r="D569" s="168"/>
      <c r="E569" s="168"/>
      <c r="F569" s="183"/>
      <c r="G569" s="183"/>
    </row>
    <row r="570" spans="1:7" s="149" customFormat="1" x14ac:dyDescent="0.25">
      <c r="A570" s="182"/>
      <c r="D570" s="168"/>
      <c r="E570" s="168"/>
      <c r="F570" s="183"/>
      <c r="G570" s="183"/>
    </row>
    <row r="571" spans="1:7" s="149" customFormat="1" x14ac:dyDescent="0.25">
      <c r="A571" s="182"/>
      <c r="D571" s="184"/>
      <c r="E571" s="184"/>
      <c r="F571" s="183"/>
      <c r="G571" s="183"/>
    </row>
    <row r="572" spans="1:7" s="149" customFormat="1" x14ac:dyDescent="0.25">
      <c r="A572" s="182"/>
      <c r="D572" s="184"/>
      <c r="E572" s="184"/>
      <c r="F572" s="183"/>
      <c r="G572" s="183"/>
    </row>
    <row r="573" spans="1:7" s="149" customFormat="1" x14ac:dyDescent="0.25">
      <c r="A573" s="182"/>
      <c r="D573" s="184"/>
      <c r="E573" s="184"/>
      <c r="F573" s="183"/>
      <c r="G573" s="183"/>
    </row>
    <row r="574" spans="1:7" s="149" customFormat="1" x14ac:dyDescent="0.25">
      <c r="A574" s="182"/>
      <c r="D574" s="184"/>
      <c r="E574" s="184"/>
      <c r="F574" s="183"/>
      <c r="G574" s="183"/>
    </row>
    <row r="575" spans="1:7" s="149" customFormat="1" x14ac:dyDescent="0.25">
      <c r="A575" s="182"/>
      <c r="D575" s="184"/>
      <c r="E575" s="184"/>
      <c r="F575" s="183"/>
      <c r="G575" s="183"/>
    </row>
    <row r="576" spans="1:7" s="149" customFormat="1" x14ac:dyDescent="0.25">
      <c r="A576" s="182"/>
      <c r="D576" s="184"/>
      <c r="E576" s="184"/>
      <c r="F576" s="183"/>
      <c r="G576" s="183"/>
    </row>
    <row r="577" spans="1:7" s="149" customFormat="1" x14ac:dyDescent="0.25">
      <c r="A577" s="182"/>
      <c r="D577" s="184"/>
      <c r="E577" s="184"/>
      <c r="F577" s="183"/>
      <c r="G577" s="183"/>
    </row>
    <row r="578" spans="1:7" s="149" customFormat="1" x14ac:dyDescent="0.25">
      <c r="A578" s="182"/>
      <c r="D578" s="184"/>
      <c r="E578" s="184"/>
      <c r="F578" s="183"/>
      <c r="G578" s="183"/>
    </row>
    <row r="579" spans="1:7" s="149" customFormat="1" x14ac:dyDescent="0.25">
      <c r="A579" s="182"/>
      <c r="D579" s="184"/>
      <c r="E579" s="184"/>
      <c r="F579" s="183"/>
      <c r="G579" s="183"/>
    </row>
    <row r="580" spans="1:7" s="149" customFormat="1" x14ac:dyDescent="0.25">
      <c r="A580" s="182"/>
      <c r="D580" s="184"/>
      <c r="E580" s="184"/>
      <c r="F580" s="183"/>
      <c r="G580" s="183"/>
    </row>
    <row r="581" spans="1:7" s="149" customFormat="1" x14ac:dyDescent="0.25">
      <c r="A581" s="182"/>
      <c r="D581" s="184"/>
      <c r="E581" s="184"/>
      <c r="F581" s="183"/>
      <c r="G581" s="183"/>
    </row>
    <row r="582" spans="1:7" s="149" customFormat="1" x14ac:dyDescent="0.25">
      <c r="A582" s="182"/>
      <c r="D582" s="184"/>
      <c r="E582" s="184"/>
      <c r="F582" s="183"/>
      <c r="G582" s="183"/>
    </row>
    <row r="583" spans="1:7" s="149" customFormat="1" x14ac:dyDescent="0.25">
      <c r="A583" s="182"/>
      <c r="D583" s="184"/>
      <c r="E583" s="184"/>
      <c r="F583" s="183"/>
      <c r="G583" s="183"/>
    </row>
    <row r="584" spans="1:7" s="149" customFormat="1" x14ac:dyDescent="0.25">
      <c r="A584" s="182"/>
      <c r="D584" s="184"/>
      <c r="E584" s="184"/>
      <c r="F584" s="183"/>
      <c r="G584" s="183"/>
    </row>
    <row r="585" spans="1:7" s="149" customFormat="1" x14ac:dyDescent="0.25">
      <c r="A585" s="182"/>
      <c r="D585" s="184"/>
      <c r="E585" s="184"/>
      <c r="F585" s="183"/>
      <c r="G585" s="183"/>
    </row>
    <row r="586" spans="1:7" s="149" customFormat="1" x14ac:dyDescent="0.25">
      <c r="A586" s="182"/>
      <c r="D586" s="184"/>
      <c r="E586" s="184"/>
      <c r="F586" s="183"/>
      <c r="G586" s="183"/>
    </row>
    <row r="587" spans="1:7" s="149" customFormat="1" x14ac:dyDescent="0.25">
      <c r="A587" s="182"/>
      <c r="D587" s="184"/>
      <c r="E587" s="184"/>
      <c r="F587" s="183"/>
      <c r="G587" s="183"/>
    </row>
    <row r="588" spans="1:7" s="149" customFormat="1" x14ac:dyDescent="0.25">
      <c r="A588" s="182"/>
      <c r="D588" s="184"/>
      <c r="E588" s="184"/>
      <c r="F588" s="183"/>
      <c r="G588" s="183"/>
    </row>
    <row r="589" spans="1:7" s="149" customFormat="1" x14ac:dyDescent="0.25">
      <c r="A589" s="182"/>
      <c r="D589" s="184"/>
      <c r="E589" s="184"/>
      <c r="F589" s="183"/>
      <c r="G589" s="183"/>
    </row>
    <row r="590" spans="1:7" s="149" customFormat="1" x14ac:dyDescent="0.25">
      <c r="A590" s="182"/>
      <c r="D590" s="184"/>
      <c r="E590" s="184"/>
      <c r="F590" s="183"/>
      <c r="G590" s="183"/>
    </row>
    <row r="591" spans="1:7" s="149" customFormat="1" x14ac:dyDescent="0.25">
      <c r="A591" s="182"/>
      <c r="D591" s="184"/>
      <c r="E591" s="184"/>
      <c r="F591" s="183"/>
      <c r="G591" s="183"/>
    </row>
    <row r="592" spans="1:7" s="149" customFormat="1" x14ac:dyDescent="0.25">
      <c r="A592" s="182"/>
      <c r="D592" s="184"/>
      <c r="E592" s="184"/>
      <c r="F592" s="183"/>
      <c r="G592" s="183"/>
    </row>
    <row r="593" spans="1:7" s="149" customFormat="1" x14ac:dyDescent="0.25">
      <c r="A593" s="182"/>
      <c r="D593" s="184"/>
      <c r="E593" s="184"/>
      <c r="F593" s="183"/>
      <c r="G593" s="183"/>
    </row>
    <row r="594" spans="1:7" s="149" customFormat="1" x14ac:dyDescent="0.25">
      <c r="A594" s="182"/>
      <c r="D594" s="184"/>
      <c r="E594" s="184"/>
      <c r="F594" s="183"/>
      <c r="G594" s="183"/>
    </row>
    <row r="595" spans="1:7" s="149" customFormat="1" x14ac:dyDescent="0.25">
      <c r="A595" s="182"/>
      <c r="D595" s="184"/>
      <c r="E595" s="184"/>
      <c r="F595" s="183"/>
      <c r="G595" s="183"/>
    </row>
    <row r="596" spans="1:7" s="149" customFormat="1" x14ac:dyDescent="0.25">
      <c r="A596" s="182"/>
      <c r="D596" s="184"/>
      <c r="E596" s="184"/>
      <c r="F596" s="183"/>
      <c r="G596" s="183"/>
    </row>
    <row r="597" spans="1:7" s="149" customFormat="1" x14ac:dyDescent="0.25">
      <c r="A597" s="182"/>
      <c r="D597" s="184"/>
      <c r="E597" s="184"/>
      <c r="F597" s="183"/>
      <c r="G597" s="183"/>
    </row>
    <row r="598" spans="1:7" s="149" customFormat="1" x14ac:dyDescent="0.25">
      <c r="A598" s="182"/>
      <c r="D598" s="184"/>
      <c r="E598" s="184"/>
      <c r="F598" s="183"/>
      <c r="G598" s="183"/>
    </row>
    <row r="599" spans="1:7" s="149" customFormat="1" x14ac:dyDescent="0.25">
      <c r="A599" s="182"/>
      <c r="D599" s="184"/>
      <c r="E599" s="184"/>
      <c r="F599" s="183"/>
      <c r="G599" s="183"/>
    </row>
    <row r="600" spans="1:7" s="149" customFormat="1" x14ac:dyDescent="0.25">
      <c r="A600" s="182"/>
      <c r="D600" s="184"/>
      <c r="E600" s="184"/>
      <c r="F600" s="183"/>
      <c r="G600" s="183"/>
    </row>
    <row r="601" spans="1:7" s="149" customFormat="1" x14ac:dyDescent="0.25">
      <c r="A601" s="182"/>
      <c r="D601" s="184"/>
      <c r="E601" s="184"/>
      <c r="F601" s="183"/>
      <c r="G601" s="183"/>
    </row>
    <row r="602" spans="1:7" s="149" customFormat="1" x14ac:dyDescent="0.25">
      <c r="A602" s="182"/>
      <c r="D602" s="184"/>
      <c r="E602" s="184"/>
      <c r="F602" s="183"/>
      <c r="G602" s="183"/>
    </row>
    <row r="603" spans="1:7" s="149" customFormat="1" x14ac:dyDescent="0.25">
      <c r="A603" s="182"/>
      <c r="D603" s="184"/>
      <c r="E603" s="184"/>
      <c r="F603" s="183"/>
      <c r="G603" s="183"/>
    </row>
    <row r="604" spans="1:7" s="149" customFormat="1" x14ac:dyDescent="0.25">
      <c r="A604" s="182"/>
      <c r="D604" s="184"/>
      <c r="E604" s="184"/>
      <c r="F604" s="183"/>
      <c r="G604" s="183"/>
    </row>
    <row r="605" spans="1:7" s="149" customFormat="1" x14ac:dyDescent="0.25">
      <c r="A605" s="182"/>
      <c r="D605" s="184"/>
      <c r="E605" s="184"/>
      <c r="F605" s="183"/>
      <c r="G605" s="183"/>
    </row>
    <row r="606" spans="1:7" s="149" customFormat="1" x14ac:dyDescent="0.25">
      <c r="A606" s="182"/>
      <c r="D606" s="184"/>
      <c r="E606" s="184"/>
      <c r="F606" s="183"/>
      <c r="G606" s="183"/>
    </row>
    <row r="607" spans="1:7" s="149" customFormat="1" x14ac:dyDescent="0.25">
      <c r="A607" s="182"/>
      <c r="D607" s="184"/>
      <c r="E607" s="184"/>
      <c r="F607" s="183"/>
      <c r="G607" s="183"/>
    </row>
    <row r="608" spans="1:7" s="149" customFormat="1" x14ac:dyDescent="0.25">
      <c r="A608" s="182"/>
      <c r="D608" s="184"/>
      <c r="E608" s="184"/>
      <c r="F608" s="183"/>
      <c r="G608" s="183"/>
    </row>
    <row r="609" spans="1:7" s="149" customFormat="1" x14ac:dyDescent="0.25">
      <c r="A609" s="182"/>
      <c r="D609" s="184"/>
      <c r="E609" s="184"/>
      <c r="F609" s="183"/>
      <c r="G609" s="183"/>
    </row>
    <row r="610" spans="1:7" s="149" customFormat="1" x14ac:dyDescent="0.25">
      <c r="A610" s="182"/>
      <c r="D610" s="184"/>
      <c r="E610" s="184"/>
      <c r="F610" s="183"/>
      <c r="G610" s="183"/>
    </row>
    <row r="611" spans="1:7" s="149" customFormat="1" x14ac:dyDescent="0.25">
      <c r="A611" s="182"/>
      <c r="D611" s="184"/>
      <c r="E611" s="184"/>
      <c r="F611" s="183"/>
      <c r="G611" s="183"/>
    </row>
    <row r="612" spans="1:7" s="149" customFormat="1" x14ac:dyDescent="0.25">
      <c r="A612" s="182"/>
      <c r="D612" s="184"/>
      <c r="E612" s="184"/>
      <c r="F612" s="183"/>
      <c r="G612" s="183"/>
    </row>
    <row r="613" spans="1:7" s="149" customFormat="1" x14ac:dyDescent="0.25">
      <c r="A613" s="182"/>
      <c r="D613" s="184"/>
      <c r="E613" s="184"/>
      <c r="F613" s="183"/>
      <c r="G613" s="183"/>
    </row>
    <row r="614" spans="1:7" s="149" customFormat="1" x14ac:dyDescent="0.25">
      <c r="A614" s="182"/>
      <c r="D614" s="184"/>
      <c r="E614" s="184"/>
      <c r="F614" s="183"/>
      <c r="G614" s="183"/>
    </row>
    <row r="615" spans="1:7" s="149" customFormat="1" x14ac:dyDescent="0.25">
      <c r="A615" s="182"/>
      <c r="D615" s="184"/>
      <c r="E615" s="184"/>
      <c r="F615" s="183"/>
      <c r="G615" s="183"/>
    </row>
    <row r="616" spans="1:7" s="149" customFormat="1" x14ac:dyDescent="0.25">
      <c r="A616" s="182"/>
      <c r="D616" s="184"/>
      <c r="E616" s="184"/>
      <c r="F616" s="183"/>
      <c r="G616" s="183"/>
    </row>
    <row r="617" spans="1:7" s="149" customFormat="1" x14ac:dyDescent="0.25">
      <c r="A617" s="182"/>
      <c r="D617" s="184"/>
      <c r="E617" s="184"/>
      <c r="F617" s="183"/>
      <c r="G617" s="183"/>
    </row>
    <row r="618" spans="1:7" s="149" customFormat="1" x14ac:dyDescent="0.25">
      <c r="A618" s="182"/>
      <c r="D618" s="184"/>
      <c r="E618" s="184"/>
      <c r="F618" s="183"/>
      <c r="G618" s="183"/>
    </row>
    <row r="619" spans="1:7" s="149" customFormat="1" x14ac:dyDescent="0.25">
      <c r="A619" s="182"/>
      <c r="D619" s="184"/>
      <c r="E619" s="184"/>
      <c r="F619" s="183"/>
      <c r="G619" s="183"/>
    </row>
    <row r="620" spans="1:7" s="149" customFormat="1" x14ac:dyDescent="0.25">
      <c r="A620" s="182"/>
      <c r="D620" s="184"/>
      <c r="E620" s="184"/>
      <c r="F620" s="183"/>
      <c r="G620" s="183"/>
    </row>
    <row r="621" spans="1:7" s="149" customFormat="1" x14ac:dyDescent="0.25">
      <c r="A621" s="182"/>
      <c r="D621" s="184"/>
      <c r="E621" s="184"/>
      <c r="F621" s="183"/>
      <c r="G621" s="183"/>
    </row>
    <row r="622" spans="1:7" s="149" customFormat="1" x14ac:dyDescent="0.25">
      <c r="A622" s="182"/>
      <c r="D622" s="184"/>
      <c r="E622" s="184"/>
      <c r="F622" s="183"/>
      <c r="G622" s="183"/>
    </row>
    <row r="623" spans="1:7" s="149" customFormat="1" x14ac:dyDescent="0.25">
      <c r="A623" s="182"/>
      <c r="D623" s="184"/>
      <c r="E623" s="184"/>
      <c r="F623" s="183"/>
      <c r="G623" s="183"/>
    </row>
    <row r="624" spans="1:7" s="149" customFormat="1" x14ac:dyDescent="0.25">
      <c r="A624" s="182"/>
      <c r="D624" s="184"/>
      <c r="E624" s="184"/>
      <c r="F624" s="183"/>
      <c r="G624" s="183"/>
    </row>
    <row r="625" spans="1:7" s="149" customFormat="1" x14ac:dyDescent="0.25">
      <c r="A625" s="182"/>
      <c r="D625" s="184"/>
      <c r="E625" s="184"/>
      <c r="F625" s="183"/>
      <c r="G625" s="183"/>
    </row>
    <row r="626" spans="1:7" s="149" customFormat="1" x14ac:dyDescent="0.25">
      <c r="A626" s="182"/>
      <c r="D626" s="184"/>
      <c r="E626" s="184"/>
      <c r="F626" s="183"/>
      <c r="G626" s="183"/>
    </row>
    <row r="627" spans="1:7" s="149" customFormat="1" x14ac:dyDescent="0.25">
      <c r="A627" s="182"/>
      <c r="D627" s="184"/>
      <c r="E627" s="184"/>
      <c r="F627" s="183"/>
      <c r="G627" s="183"/>
    </row>
    <row r="628" spans="1:7" s="149" customFormat="1" x14ac:dyDescent="0.25">
      <c r="A628" s="182"/>
      <c r="D628" s="184"/>
      <c r="E628" s="184"/>
      <c r="F628" s="183"/>
      <c r="G628" s="183"/>
    </row>
    <row r="629" spans="1:7" s="149" customFormat="1" x14ac:dyDescent="0.25">
      <c r="A629" s="182"/>
      <c r="D629" s="184"/>
      <c r="E629" s="184"/>
      <c r="F629" s="183"/>
      <c r="G629" s="183"/>
    </row>
    <row r="630" spans="1:7" s="149" customFormat="1" x14ac:dyDescent="0.25">
      <c r="A630" s="182"/>
      <c r="D630" s="184"/>
      <c r="E630" s="184"/>
      <c r="F630" s="183"/>
      <c r="G630" s="183"/>
    </row>
    <row r="631" spans="1:7" s="149" customFormat="1" x14ac:dyDescent="0.25">
      <c r="A631" s="182"/>
      <c r="D631" s="184"/>
      <c r="E631" s="184"/>
      <c r="F631" s="183"/>
      <c r="G631" s="183"/>
    </row>
    <row r="632" spans="1:7" s="149" customFormat="1" x14ac:dyDescent="0.25">
      <c r="A632" s="182"/>
      <c r="D632" s="184"/>
      <c r="E632" s="184"/>
      <c r="F632" s="183"/>
      <c r="G632" s="183"/>
    </row>
    <row r="633" spans="1:7" s="149" customFormat="1" x14ac:dyDescent="0.25">
      <c r="A633" s="182"/>
      <c r="D633" s="184"/>
      <c r="E633" s="184"/>
      <c r="F633" s="183"/>
      <c r="G633" s="183"/>
    </row>
    <row r="634" spans="1:7" s="149" customFormat="1" x14ac:dyDescent="0.25">
      <c r="A634" s="182"/>
      <c r="D634" s="184"/>
      <c r="E634" s="184"/>
      <c r="F634" s="183"/>
      <c r="G634" s="183"/>
    </row>
    <row r="635" spans="1:7" s="149" customFormat="1" x14ac:dyDescent="0.25">
      <c r="A635" s="182"/>
      <c r="D635" s="184"/>
      <c r="E635" s="184"/>
      <c r="F635" s="183"/>
      <c r="G635" s="183"/>
    </row>
    <row r="636" spans="1:7" s="149" customFormat="1" x14ac:dyDescent="0.25">
      <c r="A636" s="182"/>
      <c r="D636" s="184"/>
      <c r="E636" s="184"/>
      <c r="F636" s="183"/>
      <c r="G636" s="183"/>
    </row>
    <row r="637" spans="1:7" s="149" customFormat="1" x14ac:dyDescent="0.25">
      <c r="A637" s="182"/>
      <c r="D637" s="184"/>
      <c r="E637" s="184"/>
      <c r="F637" s="183"/>
      <c r="G637" s="183"/>
    </row>
    <row r="638" spans="1:7" s="149" customFormat="1" x14ac:dyDescent="0.25">
      <c r="A638" s="182"/>
      <c r="D638" s="184"/>
      <c r="E638" s="184"/>
      <c r="F638" s="183"/>
      <c r="G638" s="183"/>
    </row>
    <row r="639" spans="1:7" s="149" customFormat="1" x14ac:dyDescent="0.25">
      <c r="A639" s="182"/>
      <c r="D639" s="184"/>
      <c r="E639" s="184"/>
      <c r="F639" s="183"/>
      <c r="G639" s="183"/>
    </row>
    <row r="640" spans="1:7" s="149" customFormat="1" x14ac:dyDescent="0.25">
      <c r="A640" s="182"/>
      <c r="D640" s="184"/>
      <c r="E640" s="184"/>
      <c r="F640" s="183"/>
      <c r="G640" s="183"/>
    </row>
    <row r="641" spans="1:7" s="149" customFormat="1" x14ac:dyDescent="0.25">
      <c r="A641" s="182"/>
      <c r="D641" s="184"/>
      <c r="E641" s="184"/>
      <c r="F641" s="183"/>
      <c r="G641" s="183"/>
    </row>
    <row r="642" spans="1:7" s="149" customFormat="1" x14ac:dyDescent="0.25">
      <c r="A642" s="182"/>
      <c r="D642" s="184"/>
      <c r="E642" s="184"/>
      <c r="F642" s="183"/>
      <c r="G642" s="183"/>
    </row>
    <row r="643" spans="1:7" s="149" customFormat="1" x14ac:dyDescent="0.25">
      <c r="A643" s="182"/>
      <c r="D643" s="184"/>
      <c r="E643" s="184"/>
      <c r="F643" s="183"/>
      <c r="G643" s="183"/>
    </row>
    <row r="644" spans="1:7" s="149" customFormat="1" x14ac:dyDescent="0.25">
      <c r="A644" s="182"/>
      <c r="D644" s="184"/>
      <c r="E644" s="184"/>
      <c r="F644" s="183"/>
      <c r="G644" s="183"/>
    </row>
    <row r="645" spans="1:7" s="149" customFormat="1" x14ac:dyDescent="0.25">
      <c r="A645" s="182"/>
      <c r="D645" s="184"/>
      <c r="E645" s="184"/>
      <c r="F645" s="183"/>
      <c r="G645" s="183"/>
    </row>
    <row r="646" spans="1:7" s="149" customFormat="1" x14ac:dyDescent="0.25">
      <c r="A646" s="182"/>
      <c r="D646" s="184"/>
      <c r="E646" s="184"/>
      <c r="F646" s="183"/>
      <c r="G646" s="183"/>
    </row>
    <row r="647" spans="1:7" s="149" customFormat="1" x14ac:dyDescent="0.25">
      <c r="A647" s="182"/>
      <c r="D647" s="184"/>
      <c r="E647" s="184"/>
      <c r="F647" s="183"/>
      <c r="G647" s="183"/>
    </row>
    <row r="648" spans="1:7" s="149" customFormat="1" x14ac:dyDescent="0.25">
      <c r="A648" s="182"/>
      <c r="D648" s="184"/>
      <c r="E648" s="184"/>
      <c r="F648" s="183"/>
      <c r="G648" s="183"/>
    </row>
    <row r="649" spans="1:7" s="149" customFormat="1" x14ac:dyDescent="0.25">
      <c r="A649" s="182"/>
      <c r="D649" s="184"/>
      <c r="E649" s="184"/>
      <c r="F649" s="183"/>
      <c r="G649" s="183"/>
    </row>
    <row r="650" spans="1:7" s="149" customFormat="1" x14ac:dyDescent="0.25">
      <c r="A650" s="182"/>
      <c r="D650" s="184"/>
      <c r="E650" s="184"/>
      <c r="F650" s="183"/>
      <c r="G650" s="183"/>
    </row>
    <row r="651" spans="1:7" s="149" customFormat="1" x14ac:dyDescent="0.25">
      <c r="A651" s="182"/>
      <c r="D651" s="184"/>
      <c r="E651" s="184"/>
      <c r="F651" s="183"/>
      <c r="G651" s="183"/>
    </row>
    <row r="652" spans="1:7" s="149" customFormat="1" x14ac:dyDescent="0.25">
      <c r="A652" s="182"/>
      <c r="D652" s="184"/>
      <c r="E652" s="184"/>
      <c r="F652" s="183"/>
      <c r="G652" s="183"/>
    </row>
    <row r="653" spans="1:7" s="149" customFormat="1" x14ac:dyDescent="0.25">
      <c r="A653" s="182"/>
      <c r="D653" s="184"/>
      <c r="E653" s="184"/>
      <c r="F653" s="183"/>
      <c r="G653" s="183"/>
    </row>
    <row r="654" spans="1:7" s="149" customFormat="1" x14ac:dyDescent="0.25">
      <c r="A654" s="182"/>
      <c r="D654" s="184"/>
      <c r="E654" s="184"/>
      <c r="F654" s="183"/>
      <c r="G654" s="183"/>
    </row>
    <row r="655" spans="1:7" s="149" customFormat="1" x14ac:dyDescent="0.25">
      <c r="A655" s="182"/>
      <c r="D655" s="184"/>
      <c r="E655" s="184"/>
      <c r="F655" s="183"/>
      <c r="G655" s="183"/>
    </row>
    <row r="656" spans="1:7" s="149" customFormat="1" x14ac:dyDescent="0.25">
      <c r="A656" s="182"/>
      <c r="D656" s="184"/>
      <c r="E656" s="184"/>
      <c r="F656" s="183"/>
      <c r="G656" s="183"/>
    </row>
    <row r="657" spans="1:7" s="149" customFormat="1" x14ac:dyDescent="0.25">
      <c r="A657" s="182"/>
      <c r="D657" s="184"/>
      <c r="E657" s="184"/>
      <c r="F657" s="183"/>
      <c r="G657" s="183"/>
    </row>
    <row r="658" spans="1:7" s="149" customFormat="1" x14ac:dyDescent="0.25">
      <c r="A658" s="182"/>
      <c r="D658" s="184"/>
      <c r="E658" s="184"/>
      <c r="F658" s="183"/>
      <c r="G658" s="183"/>
    </row>
    <row r="659" spans="1:7" s="149" customFormat="1" x14ac:dyDescent="0.25">
      <c r="A659" s="182"/>
      <c r="D659" s="184"/>
      <c r="E659" s="184"/>
      <c r="F659" s="183"/>
      <c r="G659" s="183"/>
    </row>
    <row r="660" spans="1:7" s="149" customFormat="1" x14ac:dyDescent="0.25">
      <c r="A660" s="182"/>
      <c r="D660" s="184"/>
      <c r="E660" s="184"/>
      <c r="F660" s="183"/>
      <c r="G660" s="183"/>
    </row>
    <row r="661" spans="1:7" s="149" customFormat="1" x14ac:dyDescent="0.25">
      <c r="A661" s="182"/>
      <c r="D661" s="184"/>
      <c r="E661" s="184"/>
      <c r="F661" s="183"/>
      <c r="G661" s="183"/>
    </row>
    <row r="662" spans="1:7" s="149" customFormat="1" x14ac:dyDescent="0.25">
      <c r="A662" s="182"/>
      <c r="D662" s="184"/>
      <c r="E662" s="184"/>
      <c r="F662" s="183"/>
      <c r="G662" s="183"/>
    </row>
    <row r="663" spans="1:7" s="149" customFormat="1" x14ac:dyDescent="0.25">
      <c r="A663" s="182"/>
      <c r="D663" s="184"/>
      <c r="E663" s="184"/>
      <c r="F663" s="183"/>
      <c r="G663" s="183"/>
    </row>
    <row r="664" spans="1:7" s="149" customFormat="1" x14ac:dyDescent="0.25">
      <c r="A664" s="182"/>
      <c r="D664" s="184"/>
      <c r="E664" s="184"/>
      <c r="F664" s="183"/>
      <c r="G664" s="183"/>
    </row>
    <row r="665" spans="1:7" s="149" customFormat="1" x14ac:dyDescent="0.25">
      <c r="A665" s="182"/>
      <c r="D665" s="184"/>
      <c r="E665" s="184"/>
      <c r="F665" s="183"/>
      <c r="G665" s="183"/>
    </row>
    <row r="666" spans="1:7" s="149" customFormat="1" x14ac:dyDescent="0.25">
      <c r="A666" s="182"/>
      <c r="D666" s="184"/>
      <c r="E666" s="184"/>
      <c r="F666" s="183"/>
      <c r="G666" s="183"/>
    </row>
    <row r="667" spans="1:7" s="149" customFormat="1" x14ac:dyDescent="0.25">
      <c r="A667" s="182"/>
      <c r="D667" s="184"/>
      <c r="E667" s="184"/>
      <c r="F667" s="183"/>
      <c r="G667" s="183"/>
    </row>
    <row r="668" spans="1:7" s="149" customFormat="1" x14ac:dyDescent="0.25">
      <c r="A668" s="182"/>
      <c r="D668" s="184"/>
      <c r="E668" s="184"/>
      <c r="F668" s="183"/>
      <c r="G668" s="183"/>
    </row>
    <row r="669" spans="1:7" s="149" customFormat="1" x14ac:dyDescent="0.25">
      <c r="A669" s="182"/>
      <c r="D669" s="184"/>
      <c r="E669" s="184"/>
      <c r="F669" s="183"/>
      <c r="G669" s="183"/>
    </row>
    <row r="670" spans="1:7" s="149" customFormat="1" x14ac:dyDescent="0.25">
      <c r="A670" s="182"/>
      <c r="D670" s="184"/>
      <c r="E670" s="184"/>
      <c r="F670" s="183"/>
      <c r="G670" s="183"/>
    </row>
    <row r="671" spans="1:7" s="149" customFormat="1" x14ac:dyDescent="0.25">
      <c r="A671" s="182"/>
      <c r="D671" s="184"/>
      <c r="E671" s="184"/>
      <c r="F671" s="183"/>
      <c r="G671" s="183"/>
    </row>
    <row r="672" spans="1:7" s="149" customFormat="1" x14ac:dyDescent="0.25">
      <c r="A672" s="182"/>
      <c r="D672" s="184"/>
      <c r="E672" s="184"/>
      <c r="F672" s="183"/>
      <c r="G672" s="183"/>
    </row>
    <row r="673" spans="1:7" s="149" customFormat="1" x14ac:dyDescent="0.25">
      <c r="A673" s="182"/>
      <c r="D673" s="184"/>
      <c r="E673" s="184"/>
      <c r="F673" s="183"/>
      <c r="G673" s="183"/>
    </row>
    <row r="674" spans="1:7" s="149" customFormat="1" x14ac:dyDescent="0.25">
      <c r="A674" s="182"/>
      <c r="D674" s="184"/>
      <c r="E674" s="184"/>
      <c r="F674" s="183"/>
      <c r="G674" s="183"/>
    </row>
    <row r="675" spans="1:7" s="149" customFormat="1" x14ac:dyDescent="0.25">
      <c r="A675" s="182"/>
      <c r="D675" s="184"/>
      <c r="E675" s="184"/>
      <c r="F675" s="183"/>
      <c r="G675" s="183"/>
    </row>
    <row r="676" spans="1:7" s="149" customFormat="1" x14ac:dyDescent="0.25">
      <c r="A676" s="182"/>
      <c r="D676" s="184"/>
      <c r="E676" s="184"/>
      <c r="F676" s="183"/>
      <c r="G676" s="183"/>
    </row>
    <row r="677" spans="1:7" s="149" customFormat="1" x14ac:dyDescent="0.25">
      <c r="A677" s="182"/>
      <c r="D677" s="184"/>
      <c r="E677" s="184"/>
      <c r="F677" s="183"/>
      <c r="G677" s="183"/>
    </row>
    <row r="678" spans="1:7" s="149" customFormat="1" x14ac:dyDescent="0.25">
      <c r="A678" s="182"/>
      <c r="D678" s="184"/>
      <c r="E678" s="184"/>
      <c r="F678" s="183"/>
      <c r="G678" s="183"/>
    </row>
    <row r="679" spans="1:7" s="149" customFormat="1" x14ac:dyDescent="0.25">
      <c r="A679" s="182"/>
      <c r="D679" s="184"/>
      <c r="E679" s="184"/>
      <c r="F679" s="183"/>
      <c r="G679" s="183"/>
    </row>
    <row r="680" spans="1:7" s="149" customFormat="1" x14ac:dyDescent="0.25">
      <c r="A680" s="182"/>
      <c r="D680" s="184"/>
      <c r="E680" s="184"/>
      <c r="F680" s="183"/>
      <c r="G680" s="183"/>
    </row>
    <row r="681" spans="1:7" s="149" customFormat="1" x14ac:dyDescent="0.25">
      <c r="A681" s="182"/>
      <c r="D681" s="184"/>
      <c r="E681" s="184"/>
      <c r="F681" s="183"/>
      <c r="G681" s="183"/>
    </row>
    <row r="682" spans="1:7" s="149" customFormat="1" x14ac:dyDescent="0.25">
      <c r="A682" s="182"/>
      <c r="D682" s="184"/>
      <c r="E682" s="184"/>
      <c r="F682" s="183"/>
      <c r="G682" s="183"/>
    </row>
    <row r="683" spans="1:7" s="149" customFormat="1" x14ac:dyDescent="0.25">
      <c r="A683" s="182"/>
      <c r="D683" s="184"/>
      <c r="E683" s="184"/>
      <c r="F683" s="183"/>
      <c r="G683" s="183"/>
    </row>
    <row r="684" spans="1:7" s="149" customFormat="1" x14ac:dyDescent="0.25">
      <c r="A684" s="182"/>
      <c r="D684" s="184"/>
      <c r="E684" s="184"/>
      <c r="F684" s="183"/>
      <c r="G684" s="183"/>
    </row>
    <row r="685" spans="1:7" s="149" customFormat="1" x14ac:dyDescent="0.25">
      <c r="A685" s="182"/>
      <c r="D685" s="184"/>
      <c r="E685" s="184"/>
      <c r="F685" s="183"/>
      <c r="G685" s="183"/>
    </row>
    <row r="686" spans="1:7" s="149" customFormat="1" x14ac:dyDescent="0.25">
      <c r="A686" s="182"/>
      <c r="D686" s="184"/>
      <c r="E686" s="184"/>
      <c r="F686" s="183"/>
      <c r="G686" s="183"/>
    </row>
    <row r="687" spans="1:7" s="149" customFormat="1" x14ac:dyDescent="0.25">
      <c r="A687" s="182"/>
      <c r="D687" s="184"/>
      <c r="E687" s="184"/>
      <c r="F687" s="183"/>
      <c r="G687" s="183"/>
    </row>
    <row r="688" spans="1:7" s="149" customFormat="1" x14ac:dyDescent="0.25">
      <c r="A688" s="182"/>
      <c r="D688" s="184"/>
      <c r="E688" s="184"/>
      <c r="F688" s="183"/>
      <c r="G688" s="183"/>
    </row>
    <row r="689" spans="1:7" s="149" customFormat="1" x14ac:dyDescent="0.25">
      <c r="A689" s="182"/>
      <c r="D689" s="184"/>
      <c r="E689" s="184"/>
      <c r="F689" s="183"/>
      <c r="G689" s="183"/>
    </row>
    <row r="690" spans="1:7" s="149" customFormat="1" x14ac:dyDescent="0.25">
      <c r="A690" s="182"/>
      <c r="D690" s="184"/>
      <c r="E690" s="184"/>
      <c r="F690" s="183"/>
      <c r="G690" s="183"/>
    </row>
    <row r="691" spans="1:7" s="149" customFormat="1" x14ac:dyDescent="0.25">
      <c r="A691" s="182"/>
      <c r="D691" s="184"/>
      <c r="E691" s="184"/>
      <c r="F691" s="183"/>
      <c r="G691" s="183"/>
    </row>
    <row r="692" spans="1:7" s="149" customFormat="1" x14ac:dyDescent="0.25">
      <c r="A692" s="182"/>
      <c r="D692" s="184"/>
      <c r="E692" s="184"/>
      <c r="F692" s="183"/>
      <c r="G692" s="183"/>
    </row>
    <row r="693" spans="1:7" s="149" customFormat="1" x14ac:dyDescent="0.25">
      <c r="A693" s="182"/>
      <c r="D693" s="184"/>
      <c r="E693" s="184"/>
      <c r="F693" s="183"/>
      <c r="G693" s="183"/>
    </row>
    <row r="694" spans="1:7" s="149" customFormat="1" x14ac:dyDescent="0.25">
      <c r="A694" s="182"/>
      <c r="D694" s="184"/>
      <c r="E694" s="184"/>
      <c r="F694" s="183"/>
      <c r="G694" s="183"/>
    </row>
    <row r="695" spans="1:7" s="149" customFormat="1" x14ac:dyDescent="0.25">
      <c r="A695" s="182"/>
      <c r="D695" s="184"/>
      <c r="E695" s="184"/>
      <c r="F695" s="183"/>
      <c r="G695" s="183"/>
    </row>
    <row r="696" spans="1:7" s="149" customFormat="1" x14ac:dyDescent="0.25">
      <c r="A696" s="182"/>
      <c r="D696" s="184"/>
      <c r="E696" s="184"/>
      <c r="F696" s="183"/>
      <c r="G696" s="183"/>
    </row>
    <row r="697" spans="1:7" s="149" customFormat="1" x14ac:dyDescent="0.25">
      <c r="A697" s="182"/>
      <c r="D697" s="184"/>
      <c r="E697" s="184"/>
      <c r="F697" s="183"/>
      <c r="G697" s="183"/>
    </row>
    <row r="698" spans="1:7" s="149" customFormat="1" x14ac:dyDescent="0.25">
      <c r="A698" s="182"/>
      <c r="D698" s="184"/>
      <c r="E698" s="184"/>
      <c r="F698" s="183"/>
      <c r="G698" s="183"/>
    </row>
    <row r="699" spans="1:7" s="149" customFormat="1" x14ac:dyDescent="0.25">
      <c r="A699" s="182"/>
      <c r="D699" s="184"/>
      <c r="E699" s="184"/>
      <c r="F699" s="183"/>
      <c r="G699" s="183"/>
    </row>
    <row r="700" spans="1:7" s="149" customFormat="1" x14ac:dyDescent="0.25">
      <c r="A700" s="182"/>
      <c r="D700" s="184"/>
      <c r="E700" s="184"/>
      <c r="F700" s="183"/>
      <c r="G700" s="183"/>
    </row>
    <row r="701" spans="1:7" s="149" customFormat="1" x14ac:dyDescent="0.25">
      <c r="A701" s="182"/>
      <c r="D701" s="184"/>
      <c r="E701" s="184"/>
      <c r="F701" s="183"/>
      <c r="G701" s="183"/>
    </row>
    <row r="702" spans="1:7" s="149" customFormat="1" x14ac:dyDescent="0.25">
      <c r="A702" s="182"/>
      <c r="D702" s="184"/>
      <c r="E702" s="184"/>
      <c r="F702" s="183"/>
      <c r="G702" s="183"/>
    </row>
    <row r="703" spans="1:7" s="149" customFormat="1" x14ac:dyDescent="0.25">
      <c r="A703" s="182"/>
      <c r="D703" s="184"/>
      <c r="E703" s="184"/>
      <c r="F703" s="183"/>
      <c r="G703" s="183"/>
    </row>
    <row r="704" spans="1:7" s="149" customFormat="1" x14ac:dyDescent="0.25">
      <c r="A704" s="182"/>
      <c r="D704" s="184"/>
      <c r="E704" s="184"/>
      <c r="F704" s="183"/>
      <c r="G704" s="183"/>
    </row>
    <row r="705" spans="1:7" s="149" customFormat="1" x14ac:dyDescent="0.25">
      <c r="A705" s="182"/>
      <c r="D705" s="184"/>
      <c r="E705" s="184"/>
      <c r="F705" s="183"/>
      <c r="G705" s="183"/>
    </row>
    <row r="706" spans="1:7" s="149" customFormat="1" x14ac:dyDescent="0.25">
      <c r="A706" s="182"/>
      <c r="D706" s="184"/>
      <c r="E706" s="184"/>
      <c r="F706" s="183"/>
      <c r="G706" s="183"/>
    </row>
    <row r="707" spans="1:7" s="149" customFormat="1" x14ac:dyDescent="0.25">
      <c r="A707" s="182"/>
      <c r="D707" s="184"/>
      <c r="E707" s="184"/>
      <c r="F707" s="183"/>
      <c r="G707" s="183"/>
    </row>
    <row r="708" spans="1:7" s="149" customFormat="1" x14ac:dyDescent="0.25">
      <c r="A708" s="182"/>
      <c r="D708" s="184"/>
      <c r="E708" s="184"/>
      <c r="F708" s="183"/>
      <c r="G708" s="183"/>
    </row>
    <row r="709" spans="1:7" s="149" customFormat="1" x14ac:dyDescent="0.25">
      <c r="A709" s="182"/>
      <c r="D709" s="184"/>
      <c r="E709" s="184"/>
      <c r="F709" s="183"/>
      <c r="G709" s="183"/>
    </row>
    <row r="710" spans="1:7" s="149" customFormat="1" x14ac:dyDescent="0.25">
      <c r="A710" s="182"/>
      <c r="D710" s="184"/>
      <c r="E710" s="184"/>
      <c r="F710" s="183"/>
      <c r="G710" s="183"/>
    </row>
    <row r="711" spans="1:7" s="149" customFormat="1" x14ac:dyDescent="0.25">
      <c r="A711" s="182"/>
      <c r="D711" s="184"/>
      <c r="E711" s="184"/>
      <c r="F711" s="183"/>
      <c r="G711" s="183"/>
    </row>
    <row r="712" spans="1:7" s="149" customFormat="1" x14ac:dyDescent="0.25">
      <c r="A712" s="182"/>
      <c r="D712" s="184"/>
      <c r="E712" s="184"/>
      <c r="F712" s="183"/>
      <c r="G712" s="183"/>
    </row>
    <row r="713" spans="1:7" s="149" customFormat="1" x14ac:dyDescent="0.25">
      <c r="A713" s="182"/>
      <c r="D713" s="184"/>
      <c r="E713" s="184"/>
      <c r="F713" s="183"/>
      <c r="G713" s="183"/>
    </row>
    <row r="714" spans="1:7" s="149" customFormat="1" x14ac:dyDescent="0.25">
      <c r="A714" s="182"/>
      <c r="D714" s="184"/>
      <c r="E714" s="184"/>
      <c r="F714" s="183"/>
      <c r="G714" s="183"/>
    </row>
    <row r="715" spans="1:7" s="149" customFormat="1" x14ac:dyDescent="0.25">
      <c r="A715" s="182"/>
      <c r="D715" s="184"/>
      <c r="E715" s="184"/>
      <c r="F715" s="183"/>
      <c r="G715" s="183"/>
    </row>
    <row r="716" spans="1:7" s="149" customFormat="1" x14ac:dyDescent="0.25">
      <c r="A716" s="182"/>
      <c r="D716" s="184"/>
      <c r="E716" s="184"/>
      <c r="F716" s="183"/>
      <c r="G716" s="183"/>
    </row>
    <row r="717" spans="1:7" s="149" customFormat="1" x14ac:dyDescent="0.25">
      <c r="A717" s="182"/>
      <c r="D717" s="184"/>
      <c r="E717" s="184"/>
      <c r="F717" s="183"/>
      <c r="G717" s="183"/>
    </row>
    <row r="718" spans="1:7" s="149" customFormat="1" x14ac:dyDescent="0.25">
      <c r="A718" s="182"/>
      <c r="D718" s="184"/>
      <c r="E718" s="184"/>
      <c r="F718" s="183"/>
      <c r="G718" s="183"/>
    </row>
    <row r="719" spans="1:7" s="149" customFormat="1" x14ac:dyDescent="0.25">
      <c r="A719" s="182"/>
      <c r="D719" s="184"/>
      <c r="E719" s="184"/>
      <c r="F719" s="183"/>
      <c r="G719" s="183"/>
    </row>
    <row r="720" spans="1:7" s="149" customFormat="1" x14ac:dyDescent="0.25">
      <c r="A720" s="182"/>
      <c r="D720" s="184"/>
      <c r="E720" s="184"/>
      <c r="F720" s="183"/>
      <c r="G720" s="183"/>
    </row>
    <row r="721" spans="1:16" s="149" customFormat="1" x14ac:dyDescent="0.25">
      <c r="A721" s="182"/>
      <c r="D721" s="184"/>
      <c r="E721" s="184"/>
      <c r="F721" s="183"/>
      <c r="G721" s="183"/>
    </row>
    <row r="722" spans="1:16" s="149" customFormat="1" x14ac:dyDescent="0.25">
      <c r="A722" s="182"/>
      <c r="D722" s="184"/>
      <c r="E722" s="184"/>
      <c r="F722" s="183"/>
      <c r="G722" s="183"/>
    </row>
    <row r="723" spans="1:16" s="189" customFormat="1" x14ac:dyDescent="0.25">
      <c r="A723" s="182"/>
      <c r="B723" s="185"/>
      <c r="C723" s="186"/>
      <c r="D723" s="168"/>
      <c r="E723" s="168"/>
      <c r="F723" s="187"/>
      <c r="G723" s="188"/>
      <c r="I723" s="142"/>
      <c r="J723" s="142"/>
      <c r="K723" s="142"/>
      <c r="L723" s="142"/>
      <c r="M723" s="142"/>
      <c r="N723" s="142"/>
      <c r="O723" s="142"/>
      <c r="P723" s="142"/>
    </row>
    <row r="724" spans="1:16" s="189" customFormat="1" x14ac:dyDescent="0.25">
      <c r="A724" s="182"/>
      <c r="B724" s="185"/>
      <c r="C724" s="186"/>
      <c r="D724" s="168"/>
      <c r="E724" s="168"/>
      <c r="F724" s="187"/>
      <c r="G724" s="188"/>
      <c r="I724" s="142"/>
      <c r="J724" s="142"/>
      <c r="K724" s="142"/>
      <c r="L724" s="142"/>
      <c r="M724" s="142"/>
      <c r="N724" s="142"/>
      <c r="O724" s="142"/>
      <c r="P724" s="142"/>
    </row>
    <row r="725" spans="1:16" s="189" customFormat="1" x14ac:dyDescent="0.25">
      <c r="A725" s="182"/>
      <c r="B725" s="185"/>
      <c r="C725" s="186"/>
      <c r="D725" s="168"/>
      <c r="E725" s="168"/>
      <c r="F725" s="187"/>
      <c r="G725" s="188"/>
      <c r="I725" s="142"/>
      <c r="J725" s="142"/>
      <c r="K725" s="142"/>
      <c r="L725" s="142"/>
      <c r="M725" s="142"/>
      <c r="N725" s="142"/>
      <c r="O725" s="142"/>
      <c r="P725" s="142"/>
    </row>
    <row r="726" spans="1:16" s="189" customFormat="1" x14ac:dyDescent="0.25">
      <c r="A726" s="182"/>
      <c r="B726" s="185"/>
      <c r="C726" s="186"/>
      <c r="D726" s="168"/>
      <c r="E726" s="168"/>
      <c r="F726" s="187"/>
      <c r="G726" s="188"/>
      <c r="I726" s="142"/>
      <c r="J726" s="142"/>
      <c r="K726" s="142"/>
      <c r="L726" s="142"/>
      <c r="M726" s="142"/>
      <c r="N726" s="142"/>
      <c r="O726" s="142"/>
      <c r="P726" s="142"/>
    </row>
    <row r="727" spans="1:16" s="189" customFormat="1" x14ac:dyDescent="0.25">
      <c r="A727" s="182"/>
      <c r="B727" s="185"/>
      <c r="C727" s="186"/>
      <c r="D727" s="168"/>
      <c r="E727" s="168"/>
      <c r="F727" s="187"/>
      <c r="G727" s="188"/>
      <c r="I727" s="142"/>
      <c r="J727" s="142"/>
      <c r="K727" s="142"/>
      <c r="L727" s="142"/>
      <c r="M727" s="142"/>
      <c r="N727" s="142"/>
      <c r="O727" s="142"/>
      <c r="P727" s="142"/>
    </row>
    <row r="728" spans="1:16" s="189" customFormat="1" x14ac:dyDescent="0.25">
      <c r="A728" s="182"/>
      <c r="B728" s="185"/>
      <c r="C728" s="186"/>
      <c r="D728" s="168"/>
      <c r="E728" s="168"/>
      <c r="F728" s="187"/>
      <c r="G728" s="188"/>
      <c r="I728" s="142"/>
      <c r="J728" s="142"/>
      <c r="K728" s="142"/>
      <c r="L728" s="142"/>
      <c r="M728" s="142"/>
      <c r="N728" s="142"/>
      <c r="O728" s="142"/>
      <c r="P728" s="142"/>
    </row>
    <row r="729" spans="1:16" s="189" customFormat="1" x14ac:dyDescent="0.25">
      <c r="A729" s="182"/>
      <c r="B729" s="185"/>
      <c r="C729" s="186"/>
      <c r="D729" s="168"/>
      <c r="E729" s="168"/>
      <c r="F729" s="187"/>
      <c r="G729" s="188"/>
      <c r="I729" s="142"/>
      <c r="J729" s="142"/>
      <c r="K729" s="142"/>
      <c r="L729" s="142"/>
      <c r="M729" s="142"/>
      <c r="N729" s="142"/>
      <c r="O729" s="142"/>
      <c r="P729" s="142"/>
    </row>
    <row r="730" spans="1:16" s="189" customFormat="1" x14ac:dyDescent="0.25">
      <c r="A730" s="182"/>
      <c r="B730" s="185"/>
      <c r="C730" s="186"/>
      <c r="D730" s="168"/>
      <c r="E730" s="168"/>
      <c r="F730" s="187"/>
      <c r="G730" s="188"/>
      <c r="I730" s="142"/>
      <c r="J730" s="142"/>
      <c r="K730" s="142"/>
      <c r="L730" s="142"/>
      <c r="M730" s="142"/>
      <c r="N730" s="142"/>
      <c r="O730" s="142"/>
      <c r="P730" s="142"/>
    </row>
    <row r="731" spans="1:16" s="189" customFormat="1" x14ac:dyDescent="0.25">
      <c r="A731" s="182"/>
      <c r="B731" s="185"/>
      <c r="C731" s="186"/>
      <c r="D731" s="168"/>
      <c r="E731" s="168"/>
      <c r="F731" s="187"/>
      <c r="G731" s="188"/>
      <c r="I731" s="142"/>
      <c r="J731" s="142"/>
      <c r="K731" s="142"/>
      <c r="L731" s="142"/>
      <c r="M731" s="142"/>
      <c r="N731" s="142"/>
      <c r="O731" s="142"/>
      <c r="P731" s="142"/>
    </row>
    <row r="732" spans="1:16" s="189" customFormat="1" x14ac:dyDescent="0.25">
      <c r="A732" s="182"/>
      <c r="B732" s="185"/>
      <c r="C732" s="186"/>
      <c r="D732" s="168"/>
      <c r="E732" s="168"/>
      <c r="F732" s="187"/>
      <c r="G732" s="188"/>
      <c r="I732" s="142"/>
      <c r="J732" s="142"/>
      <c r="K732" s="142"/>
      <c r="L732" s="142"/>
      <c r="M732" s="142"/>
      <c r="N732" s="142"/>
      <c r="O732" s="142"/>
      <c r="P732" s="142"/>
    </row>
    <row r="733" spans="1:16" s="189" customFormat="1" x14ac:dyDescent="0.25">
      <c r="A733" s="182"/>
      <c r="B733" s="185"/>
      <c r="C733" s="186"/>
      <c r="D733" s="168"/>
      <c r="E733" s="168"/>
      <c r="F733" s="187"/>
      <c r="G733" s="188"/>
      <c r="I733" s="142"/>
      <c r="J733" s="142"/>
      <c r="K733" s="142"/>
      <c r="L733" s="142"/>
      <c r="M733" s="142"/>
      <c r="N733" s="142"/>
      <c r="O733" s="142"/>
      <c r="P733" s="142"/>
    </row>
    <row r="734" spans="1:16" s="189" customFormat="1" x14ac:dyDescent="0.25">
      <c r="A734" s="182"/>
      <c r="B734" s="185"/>
      <c r="C734" s="186"/>
      <c r="D734" s="168"/>
      <c r="E734" s="168"/>
      <c r="F734" s="187"/>
      <c r="G734" s="188"/>
      <c r="I734" s="142"/>
      <c r="J734" s="142"/>
      <c r="K734" s="142"/>
      <c r="L734" s="142"/>
      <c r="M734" s="142"/>
      <c r="N734" s="142"/>
      <c r="O734" s="142"/>
      <c r="P734" s="142"/>
    </row>
    <row r="735" spans="1:16" s="189" customFormat="1" x14ac:dyDescent="0.25">
      <c r="A735" s="182"/>
      <c r="B735" s="185"/>
      <c r="C735" s="186"/>
      <c r="D735" s="168"/>
      <c r="E735" s="168"/>
      <c r="F735" s="187"/>
      <c r="G735" s="188"/>
      <c r="I735" s="142"/>
      <c r="J735" s="142"/>
      <c r="K735" s="142"/>
      <c r="L735" s="142"/>
      <c r="M735" s="142"/>
      <c r="N735" s="142"/>
      <c r="O735" s="142"/>
      <c r="P735" s="142"/>
    </row>
    <row r="736" spans="1:16" s="189" customFormat="1" x14ac:dyDescent="0.25">
      <c r="A736" s="182"/>
      <c r="B736" s="185"/>
      <c r="C736" s="186"/>
      <c r="D736" s="168"/>
      <c r="E736" s="168"/>
      <c r="F736" s="187"/>
      <c r="G736" s="188"/>
      <c r="I736" s="142"/>
      <c r="J736" s="142"/>
      <c r="K736" s="142"/>
      <c r="L736" s="142"/>
      <c r="M736" s="142"/>
      <c r="N736" s="142"/>
      <c r="O736" s="142"/>
      <c r="P736" s="142"/>
    </row>
    <row r="737" spans="1:16" s="189" customFormat="1" x14ac:dyDescent="0.25">
      <c r="A737" s="182"/>
      <c r="B737" s="185"/>
      <c r="C737" s="186"/>
      <c r="D737" s="168"/>
      <c r="E737" s="168"/>
      <c r="F737" s="187"/>
      <c r="G737" s="188"/>
      <c r="I737" s="142"/>
      <c r="J737" s="142"/>
      <c r="K737" s="142"/>
      <c r="L737" s="142"/>
      <c r="M737" s="142"/>
      <c r="N737" s="142"/>
      <c r="O737" s="142"/>
      <c r="P737" s="142"/>
    </row>
    <row r="738" spans="1:16" s="189" customFormat="1" x14ac:dyDescent="0.25">
      <c r="A738" s="182"/>
      <c r="B738" s="185"/>
      <c r="C738" s="186"/>
      <c r="D738" s="168"/>
      <c r="E738" s="168"/>
      <c r="F738" s="187"/>
      <c r="G738" s="188"/>
      <c r="I738" s="142"/>
      <c r="J738" s="142"/>
      <c r="K738" s="142"/>
      <c r="L738" s="142"/>
      <c r="M738" s="142"/>
      <c r="N738" s="142"/>
      <c r="O738" s="142"/>
      <c r="P738" s="142"/>
    </row>
    <row r="739" spans="1:16" s="189" customFormat="1" x14ac:dyDescent="0.25">
      <c r="A739" s="182"/>
      <c r="B739" s="185"/>
      <c r="C739" s="186"/>
      <c r="D739" s="168"/>
      <c r="E739" s="168"/>
      <c r="F739" s="187"/>
      <c r="G739" s="188"/>
      <c r="I739" s="142"/>
      <c r="J739" s="142"/>
      <c r="K739" s="142"/>
      <c r="L739" s="142"/>
      <c r="M739" s="142"/>
      <c r="N739" s="142"/>
      <c r="O739" s="142"/>
      <c r="P739" s="142"/>
    </row>
    <row r="740" spans="1:16" s="189" customFormat="1" x14ac:dyDescent="0.25">
      <c r="A740" s="182"/>
      <c r="B740" s="185"/>
      <c r="C740" s="186"/>
      <c r="D740" s="168"/>
      <c r="E740" s="168"/>
      <c r="F740" s="187"/>
      <c r="G740" s="188"/>
      <c r="I740" s="142"/>
      <c r="J740" s="142"/>
      <c r="K740" s="142"/>
      <c r="L740" s="142"/>
      <c r="M740" s="142"/>
      <c r="N740" s="142"/>
      <c r="O740" s="142"/>
      <c r="P740" s="142"/>
    </row>
    <row r="741" spans="1:16" s="189" customFormat="1" x14ac:dyDescent="0.25">
      <c r="A741" s="182"/>
      <c r="B741" s="185"/>
      <c r="C741" s="186"/>
      <c r="D741" s="168"/>
      <c r="E741" s="168"/>
      <c r="F741" s="187"/>
      <c r="G741" s="188"/>
      <c r="I741" s="142"/>
      <c r="J741" s="142"/>
      <c r="K741" s="142"/>
      <c r="L741" s="142"/>
      <c r="M741" s="142"/>
      <c r="N741" s="142"/>
      <c r="O741" s="142"/>
      <c r="P741" s="142"/>
    </row>
    <row r="742" spans="1:16" s="189" customFormat="1" x14ac:dyDescent="0.25">
      <c r="A742" s="182"/>
      <c r="B742" s="185"/>
      <c r="C742" s="186"/>
      <c r="D742" s="168"/>
      <c r="E742" s="168"/>
      <c r="F742" s="187"/>
      <c r="G742" s="188"/>
      <c r="I742" s="142"/>
      <c r="J742" s="142"/>
      <c r="K742" s="142"/>
      <c r="L742" s="142"/>
      <c r="M742" s="142"/>
      <c r="N742" s="142"/>
      <c r="O742" s="142"/>
      <c r="P742" s="142"/>
    </row>
  </sheetData>
  <mergeCells count="12">
    <mergeCell ref="A2:A10"/>
    <mergeCell ref="A11:A15"/>
    <mergeCell ref="A16:A41"/>
    <mergeCell ref="A42:A45"/>
    <mergeCell ref="A46:A66"/>
    <mergeCell ref="A108:A110"/>
    <mergeCell ref="A67:A76"/>
    <mergeCell ref="C101:C103"/>
    <mergeCell ref="C105:C107"/>
    <mergeCell ref="A77:A87"/>
    <mergeCell ref="A88:A97"/>
    <mergeCell ref="A98:A107"/>
  </mergeCells>
  <hyperlinks>
    <hyperlink ref="H8" r:id="rId1" xr:uid="{7FCD89A9-55CA-4F09-94B8-50F0D9332D5D}"/>
    <hyperlink ref="H27" r:id="rId2" xr:uid="{C0FBECAC-15CC-49A7-90FE-D7412FF15718}"/>
    <hyperlink ref="H65" r:id="rId3" xr:uid="{13681255-EAB2-44B3-BA50-C03375697893}"/>
  </hyperlinks>
  <pageMargins left="0.7" right="0.7" top="0.75" bottom="0.75" header="0.3" footer="0.3"/>
  <pageSetup scale="12"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FFB991FA-8006-40E3-979B-377FFCE2C779}">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BOQ </vt:lpstr>
      <vt:lpstr>BOM</vt:lpstr>
      <vt:lpstr>Quote comparison</vt:lpstr>
      <vt:lpstr>Manufacturer list</vt:lpstr>
      <vt:lpstr>'Manufacturer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dcterms:created xsi:type="dcterms:W3CDTF">2022-08-11T14:51:01Z</dcterms:created>
  <dcterms:modified xsi:type="dcterms:W3CDTF">2022-08-26T20:32:20Z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{FFB991FA-8006-40E3-979B-377FFCE2C779}</vt:lpwstr>
  </property>
</Properties>
</file>